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90" windowHeight="12525" activeTab="0"/>
  </bookViews>
  <sheets>
    <sheet name="WPF-15.11.r" sheetId="1" r:id="rId1"/>
    <sheet name="zał. 1" sheetId="2" r:id="rId2"/>
    <sheet name="zał. nr 2" sheetId="3" r:id="rId3"/>
    <sheet name="zał. nr 3" sheetId="4" r:id="rId4"/>
    <sheet name="zał. do uzas" sheetId="5" r:id="rId5"/>
  </sheets>
  <definedNames>
    <definedName name="_edn1" localSheetId="0">'WPF-15.11.r'!$A$56</definedName>
    <definedName name="_edn10" localSheetId="0">'WPF-15.11.r'!$A$65</definedName>
    <definedName name="_edn11" localSheetId="0">'WPF-15.11.r'!$A$66</definedName>
    <definedName name="_edn12" localSheetId="0">'WPF-15.11.r'!$A$67</definedName>
    <definedName name="_edn13" localSheetId="0">'WPF-15.11.r'!$A$68</definedName>
    <definedName name="_edn14" localSheetId="0">'WPF-15.11.r'!$A$69</definedName>
    <definedName name="_edn15" localSheetId="0">'WPF-15.11.r'!$A$70</definedName>
    <definedName name="_edn16" localSheetId="0">'WPF-15.11.r'!$A$71</definedName>
    <definedName name="_edn17" localSheetId="0">'WPF-15.11.r'!$A$72</definedName>
    <definedName name="_edn2" localSheetId="0">'WPF-15.11.r'!$A$57</definedName>
    <definedName name="_edn3" localSheetId="0">'WPF-15.11.r'!$A$58</definedName>
    <definedName name="_edn4" localSheetId="0">'WPF-15.11.r'!$A$59</definedName>
    <definedName name="_edn5" localSheetId="0">'WPF-15.11.r'!$A$60</definedName>
    <definedName name="_edn6" localSheetId="0">'WPF-15.11.r'!$A$61</definedName>
    <definedName name="_edn7" localSheetId="0">'WPF-15.11.r'!$A$62</definedName>
    <definedName name="_edn8" localSheetId="0">'WPF-15.11.r'!$A$63</definedName>
    <definedName name="_edn9" localSheetId="0">'WPF-15.11.r'!$A$64</definedName>
    <definedName name="_ednref1" localSheetId="0">'WPF-15.11.r'!$B$5</definedName>
    <definedName name="_ednref10" localSheetId="0">'WPF-15.11.r'!$B$29</definedName>
    <definedName name="_ednref11" localSheetId="0">'WPF-15.11.r'!$B$30</definedName>
    <definedName name="_ednref12" localSheetId="0">'WPF-15.11.r'!$B$32</definedName>
    <definedName name="_ednref13" localSheetId="0">'WPF-15.11.r'!$B$33</definedName>
    <definedName name="_ednref14" localSheetId="0">'WPF-15.11.r'!$B$34</definedName>
    <definedName name="_ednref15" localSheetId="0">'WPF-15.11.r'!$B$35</definedName>
    <definedName name="_ednref16" localSheetId="0">'WPF-15.11.r'!$B$36</definedName>
    <definedName name="_ednref17" localSheetId="0">'WPF-15.11.r'!$B$37</definedName>
    <definedName name="_ednref2" localSheetId="0">'WPF-15.11.r'!$B$9</definedName>
    <definedName name="_ednref3" localSheetId="0">'WPF-15.11.r'!$B$10</definedName>
    <definedName name="_ednref4" localSheetId="0">'WPF-15.11.r'!$B$11</definedName>
    <definedName name="_ednref5" localSheetId="0">'WPF-15.11.r'!$B$14</definedName>
    <definedName name="_ednref6" localSheetId="0">'WPF-15.11.r'!$B$18</definedName>
    <definedName name="_ednref7" localSheetId="0">'WPF-15.11.r'!$B$25</definedName>
    <definedName name="_ednref8" localSheetId="0">'WPF-15.11.r'!$B$27</definedName>
    <definedName name="_ednref9" localSheetId="0">'WPF-15.11.r'!$B$28</definedName>
    <definedName name="_xlnm.Print_Area" localSheetId="2">'zał. nr 2'!$A$1:$AN$423</definedName>
    <definedName name="_xlnm.Print_Titles" localSheetId="0">'WPF-15.11.r'!$A:$B,'WPF-15.11.r'!$4:$4</definedName>
    <definedName name="_xlnm.Print_Titles" localSheetId="1">'zał. 1'!$3:$4</definedName>
    <definedName name="_xlnm.Print_Titles" localSheetId="4">'zał. do uzas'!$6:$6</definedName>
    <definedName name="_xlnm.Print_Titles" localSheetId="2">'zał. nr 2'!$3:$4</definedName>
    <definedName name="_xlnm.Print_Titles" localSheetId="3">'zał. nr 3'!$A:$B,'zał. nr 3'!$4:$5</definedName>
  </definedNames>
  <calcPr fullCalcOnLoad="1"/>
</workbook>
</file>

<file path=xl/sharedStrings.xml><?xml version="1.0" encoding="utf-8"?>
<sst xmlns="http://schemas.openxmlformats.org/spreadsheetml/2006/main" count="1971" uniqueCount="428">
  <si>
    <t>Załącznik nr 1 do WPF miasta Gdyni na lata 2011 - 2022</t>
  </si>
  <si>
    <t>Wykaz programów, projektów lub zadania związane z programami realizowanymi z udziałem środków, o których mowa w art. 5 ust. 1 pkt 2 i 3 nufp</t>
  </si>
  <si>
    <t>LP</t>
  </si>
  <si>
    <t>Nazwa przedsięwzięcia i cel</t>
  </si>
  <si>
    <t>Rozdział klasyfikacji wydatków</t>
  </si>
  <si>
    <t>Jednostka odpowiedzialna lub koordynująca</t>
  </si>
  <si>
    <t>Okres realizacji</t>
  </si>
  <si>
    <t>Łączne nakłady finansowe</t>
  </si>
  <si>
    <t>Źródła finansowania</t>
  </si>
  <si>
    <t>Nakłady poniesione dotychczas</t>
  </si>
  <si>
    <t>Limity wydatków w poszczególnych latach</t>
  </si>
  <si>
    <t>Limit zobowiązań</t>
  </si>
  <si>
    <t>Przebudowa układu drogowego węzła Św. Maksymiliana wraz z budową tunelu drogowego pod Drogą Gdyńską, torami SKM i PKP w Gdyni -                      Regionalny Program Operacyjny dla Województwa Pomorskiego na lata 2007-2013</t>
  </si>
  <si>
    <t>URZĄD MIASTA GDYNI</t>
  </si>
  <si>
    <t>bieżące</t>
  </si>
  <si>
    <t>środ. włas. bież.</t>
  </si>
  <si>
    <t>środ. włas. maj.</t>
  </si>
  <si>
    <t>bud. państ. bież.</t>
  </si>
  <si>
    <t>majątkowe</t>
  </si>
  <si>
    <t>bud. państ. maj.</t>
  </si>
  <si>
    <t>środ. UE bież.</t>
  </si>
  <si>
    <t>środ. UE maj.</t>
  </si>
  <si>
    <t>Ogółem</t>
  </si>
  <si>
    <t>środ. inne bież.</t>
  </si>
  <si>
    <t>środ. inne maj.</t>
  </si>
  <si>
    <t>łącznie bieżące</t>
  </si>
  <si>
    <t>łącznie majątkowe</t>
  </si>
  <si>
    <t>Rozwój komunikacji rowerowej aglomeracji trójmiejskiej w latach 2007-2013  - Regionalny Program Województwa Pomorskiego na lata 2007-2013</t>
  </si>
  <si>
    <t>Wdrożenie zintegrowanego systemu zarządzania ruchem TRISTAR w Gdańsku, Gdyni i Sopocie - brak umowy</t>
  </si>
  <si>
    <t>Ochrona wód Zatoki Gdańskiej - budowa i modernizacja systemu odprowadzania wód opadowych w Gdyni - brak umowy</t>
  </si>
  <si>
    <t xml:space="preserve">Kompleksowa termomodernizacja dziewięciu budynków placówek oświatowych na terenie Gdyni </t>
  </si>
  <si>
    <t>Rozwój elektronicznych usług publicznych w Gdyni - Regionalny Program Operacyjny dla Województwa Pomorskiego na lata 2007-2013</t>
  </si>
  <si>
    <t>75023, 80195</t>
  </si>
  <si>
    <t>Pomorski Park Naukowo-Technologiczny - rozbudowa etap 3  -  Regionalny Program Operacyjny dla Województwa Pomorskiego Innowacyjna Gospodarka</t>
  </si>
  <si>
    <t>GDYŃSKIE CENTRUM INNOWACJI</t>
  </si>
  <si>
    <t>Pomorski Park Naukowo-Technologiczny - rozbudowa etap 4  -  Regionalny Program Operacyjny dla Województwa Pomorskiego Innowacyjna Gospodarka</t>
  </si>
  <si>
    <t xml:space="preserve">INTERFACE -                     Europejski Fundusz Rozwoju Regionalnego </t>
  </si>
  <si>
    <t>URZĄD MIASTA GDYNI - BIURO ROZWOJU MIASTA</t>
  </si>
  <si>
    <t>Wzmocnienie współpracy środowiska naukowego GUMED z podmiotami gospodarczymi o charakterze regionalnym i ponadregionalnym oraz rozwój przedsiębiorczości akademickiej GUMED-          Regionalny Program Operacyjny Dla Woj.Pomorskiego 2007-2013</t>
  </si>
  <si>
    <t>Baltic Active Education Network For Development Of People-To-People Initiatives - Edupeople                            Program  Współpracy Transgranicznej Południowy Bałtyk 2007-2013</t>
  </si>
  <si>
    <t>Wspieranie międzynarodowej aktywności innowacyjnej przedsiębiorców z Pomorza poprzez udział w targach - Let's expo                                            Regionalny Program Operacyjny dla Woj.Pomorskiego                             2007-2013</t>
  </si>
  <si>
    <t>Development of Innovative System Through Knowledge Exchange - DISKE                                                  Program Południowy Bałtyk 2007-2013</t>
  </si>
  <si>
    <t>SouthNorth Axis "SoNorA" -     Europejski Fundusz Rozwoju Regionalnego</t>
  </si>
  <si>
    <t>Rozwój proekologicznego transportu publicznego na obszarze metropolitalnym Trójmiasta   - Regionalny Program Operacyjny dla Woj.Pomorskiego         Rozwój i integracja systemów transportu zbiorowego</t>
  </si>
  <si>
    <t>ZARZĄD KOMUNIKACJI MIEJSKIEJ</t>
  </si>
  <si>
    <t>Mój biznes  -  Kapitał Ludzki 2007-20013</t>
  </si>
  <si>
    <t>POWIATOWY URZĄD PRACY</t>
  </si>
  <si>
    <t>SEGMENT - Program Inteligentna Energia Europa</t>
  </si>
  <si>
    <t>URZĄD MIASTA GDYNI - BIURO INŻYNIERII TRANSPORTU</t>
  </si>
  <si>
    <t>TROLLEY - Promoting Electric Public Transport     Cel: promowanie elektrycznego transportu publicznego</t>
  </si>
  <si>
    <t>URZĄD MIASTA GDYNI - WYDZIAŁ INWESTYCJI</t>
  </si>
  <si>
    <t>COMENIUS - Program „Uczenie się przez całe życie"  Fundacja Rozwoju Systemu Edukacji</t>
  </si>
  <si>
    <t>GIMNAZJUM NR 1</t>
  </si>
  <si>
    <t>GIMNAZJUM NR 4</t>
  </si>
  <si>
    <t>ZESPÓŁ SZKÓL ADMINISTRACYJNO- EKONOMICZNYCH</t>
  </si>
  <si>
    <t>SAMORZĄDOWA SZKOŁA PODSTAWOWA NR 18</t>
  </si>
  <si>
    <t>ZESPÓŁ SZKÓŁ OGÓLNOKSZTAŁCĄCYCH NR 5</t>
  </si>
  <si>
    <t>środki własne bieżące</t>
  </si>
  <si>
    <t>środki własne majątkowe</t>
  </si>
  <si>
    <t>SUMA</t>
  </si>
  <si>
    <t>środki UE bieżace</t>
  </si>
  <si>
    <t>środki UE majątkowe</t>
  </si>
  <si>
    <t>SUMA UE</t>
  </si>
  <si>
    <t>środki budżetu państwa bieżące</t>
  </si>
  <si>
    <t>śr. budżetu państwa majątkowe</t>
  </si>
  <si>
    <t>SUMA BP</t>
  </si>
  <si>
    <t>RAZEM</t>
  </si>
  <si>
    <t>Załącznik nr 3 do WPF miasta Gdyni na lata 2011 - 2022</t>
  </si>
  <si>
    <t>Do tabeli należy wprowadzić realizowane dotychczas i prognozowane przedsięwzięcia, których płatności przypadają w okresie dłuższym niż rok budżetowy.</t>
  </si>
  <si>
    <t>Wykaz umów, których realizacja w roku budżetowym i w latach następnych jest niezbędna dla zapewnienia ciągłości działania jednostki i których płatności przypadają w okresie dłuższym niż rok</t>
  </si>
  <si>
    <t>LP.</t>
  </si>
  <si>
    <t>Usługi przewozowe komunikacji miejskiej</t>
  </si>
  <si>
    <t>Zarząd Komunikacji Miejskiej</t>
  </si>
  <si>
    <t>do 2018</t>
  </si>
  <si>
    <t>Przystanki komunikacji miejskiej</t>
  </si>
  <si>
    <t>do 2013</t>
  </si>
  <si>
    <t>Dzierżawy</t>
  </si>
  <si>
    <t>Sprzedaż biletów</t>
  </si>
  <si>
    <t>Tramwaj wodny</t>
  </si>
  <si>
    <t>do 2012</t>
  </si>
  <si>
    <t>Nadzór powykonawczy remontów dróg i obiektów inżynierskich</t>
  </si>
  <si>
    <t>Zarząd Dróg i Zieleni</t>
  </si>
  <si>
    <t>ogółem</t>
  </si>
  <si>
    <t>Oznakowanie pionowe i poziome ulic</t>
  </si>
  <si>
    <t>Sygnalizacja świetlna - remonty</t>
  </si>
  <si>
    <t>Sygnalizacja świetlna - utrzymanie</t>
  </si>
  <si>
    <t>Remonty dróg - utrzymanie</t>
  </si>
  <si>
    <t>Utrzymanie dróg</t>
  </si>
  <si>
    <t>Utrzymanie strefy płatnego parkowania</t>
  </si>
  <si>
    <t>Wykonanie progów zwalniających i innych środków uspokojenia ruchu</t>
  </si>
  <si>
    <t>Utrzymanie rzek i potoków</t>
  </si>
  <si>
    <t>Utrzymanie kanalizacji deszczowej</t>
  </si>
  <si>
    <t>Oczyszczanie miasta zimowe</t>
  </si>
  <si>
    <t>Oczyszczanie miasta letnie</t>
  </si>
  <si>
    <t>Oczyszczanie miasta ręczne</t>
  </si>
  <si>
    <t>Eksploatacja koszy ulicznych</t>
  </si>
  <si>
    <t>Konserwacja bieżąca zieleni miejskiej</t>
  </si>
  <si>
    <t>Utrzymanie placów zabaw</t>
  </si>
  <si>
    <t>Utrzymanie drzewostanu</t>
  </si>
  <si>
    <t>Utrzymanie lasów komunalnych</t>
  </si>
  <si>
    <t>02001</t>
  </si>
  <si>
    <t>Utrzymanie i bieżąca konserwacja oświetlenia ulic</t>
  </si>
  <si>
    <t>Utrzymanie fontanny i poidełek</t>
  </si>
  <si>
    <t>Estetyzacja miasta</t>
  </si>
  <si>
    <t>Flagowanie miasta</t>
  </si>
  <si>
    <t>Utrzymanie tablic wjazdowych</t>
  </si>
  <si>
    <t>Opłaty czynszowe za lokale rad dzielnic</t>
  </si>
  <si>
    <t>Urząd Miasta</t>
  </si>
  <si>
    <t>Przygotowanie nieruchomości do zbycia</t>
  </si>
  <si>
    <t>Programy polityki zdrowotnej</t>
  </si>
  <si>
    <t>System monitorowania miasta</t>
  </si>
  <si>
    <t>Utrzymanie sprzętu i sieci informatycznej</t>
  </si>
  <si>
    <t xml:space="preserve">Obsługa inwestorska nadzoru gwarancyjnego </t>
  </si>
  <si>
    <t>Wydział Inwestycji, Wydział Budynków</t>
  </si>
  <si>
    <t xml:space="preserve">Konserwacja bieżąca zieleni miejskiej,          Wykonawstwo terenów zielonych i inwentaryzacja zieleni miejskiej,                       Pielęgnacja zieleni </t>
  </si>
  <si>
    <t>Biuro Ogrodnika Miasta,                             Wydział Inwestycji</t>
  </si>
  <si>
    <t xml:space="preserve">Granty przekazywane Stowarzyszeniom,                      Realizacja Gminnego Programu Profilaktyki i Rozwiazywania Problemów Alkoholowych </t>
  </si>
  <si>
    <t>Wydział Zdrowia</t>
  </si>
  <si>
    <t>Granty przkazywane Stowarzyszeniom</t>
  </si>
  <si>
    <t>Biuro Prezydenta</t>
  </si>
  <si>
    <t>OGÓŁEM</t>
  </si>
  <si>
    <t xml:space="preserve">Wykaz programów, projektów lub zadań, które będą realizowane a nie są zaliczone do innych rodzajów </t>
  </si>
  <si>
    <t>Rozbudowa systemów kanalizacji sanitarnej i zaopatrzenia w wodę na obszarze Gdyni - uzbrojenie terenów pod budownictwo</t>
  </si>
  <si>
    <t>środa. was. bież.</t>
  </si>
  <si>
    <t>środa. włas. maj.</t>
  </si>
  <si>
    <t xml:space="preserve">Dokumentacja przyszłościowa - rozwój proekologicznego transportu publicznego na obszarze metropolitalnym Trójmiasta -                      przygotowanie zadań do realizacji </t>
  </si>
  <si>
    <t>Kolej Metropolitalna (udział w projekcie regionalnym) - przygotowanie zadań do realizacji oraz udział w realizacji projektu regionalnego</t>
  </si>
  <si>
    <t>Przebudowa skrzyżowania ul. Chylońskiej i Północnej - poprawa systemu drogowego i układu komunikacji miejskiej</t>
  </si>
  <si>
    <t>Rozwój Komunikacji Rowerowej w aglomeracji Trójmiejskiej oraz budowa ścieżek rowerowych - dokumentacja projektowa, przygotowanie do realizacji - rozbudowa sieci nowoczesnych dróg rowerowych i ograniczenie emisji spalin</t>
  </si>
  <si>
    <t>Przbudowa ulicy Chwarznieńskiej I i II etap oraz Przebudowa dróg powiatowych  - przebudowa oraz poprawa systemu drogowego i układu komunikacji miejskiej</t>
  </si>
  <si>
    <t xml:space="preserve">Dokumentacja przyszłościowa (w tym budowa Obwodowej Północnej Aglomeracji Trójmiejskiej) - przygotowanie zadań do realizacji </t>
  </si>
  <si>
    <t>Wykupy gruntów - przygotowanie zadań do realizacji</t>
  </si>
  <si>
    <t>Modernizacja ulic gminnych, przebudowa odcinka ul. Bp.Dominika (dojazd do Szkoły Muzycznej) oraz ul. Przebendowskich - poprawa lokalnego systemu drogowego</t>
  </si>
  <si>
    <t>Budowa ścieżek rowerowych - rozbudowa sieci nowoczesnych dróg rowerowych i ograniczenie emisji spalin</t>
  </si>
  <si>
    <t>Lokalne inicjatywy inwestycyjne - uzbrojenie terenów pod budownictwo mieszkaniowe</t>
  </si>
  <si>
    <t>Dokumentacja przyszłościowa - przygotowanie zadań do realizacji</t>
  </si>
  <si>
    <t>Wykup gruntów - przygotowanie zadań do realizacji</t>
  </si>
  <si>
    <t>Udziały Gminy w Porcie Lotniczym Gdańsk Sp. z o.o. - udział w realizacji projektu rozbudowy portu lotniczego</t>
  </si>
  <si>
    <t>Udziały Gminy w Porcie Lotniczym Gdynia-Kosakowo oraz w budowie drogi do Portu Lotniczego - udział w realizacji projektu</t>
  </si>
  <si>
    <t>Rozbudowa cmentarzy ZCK - poprawa stanu technicznego obiektów</t>
  </si>
  <si>
    <t>Monitoring wizyjny miasta - poprawa bezpieczeństwa</t>
  </si>
  <si>
    <t>Budowa oraz przebudowa szkół - rozbudowa infrastruktury oświatowej oraz poprawa stanu technicznego obiektów oświatowych</t>
  </si>
  <si>
    <t>Budowa przedszkola - rozbudowa infrastruktury oświatowej</t>
  </si>
  <si>
    <t>Przebudowa szkół - poprawa stanu technicznego obiektów oświatowych</t>
  </si>
  <si>
    <t>Przebudowa i rozbudowa Szkoły Muzycznej I i II stopnia im. Z. Noskowskiego w Gdyni - poprawa warunków funkcjonowania i wzbogacenie oferty edukacyjnej i kulturalnej placówki</t>
  </si>
  <si>
    <t>Dofinansowanie rozbudowy części zabiegowej Gdyńskiego Centrum Onkologii przy Szpitalu Morskim im. PCK w Gdyni wraz z zakupem niezbędnego sprzętu i wyposażenia - poprawa dostepności i jakości leczenia chorób nowotworowych</t>
  </si>
  <si>
    <t>Adaptacja pomieszczeń na poradnie psychologiczno - pedagogiczne - poprawa stanu technicznego obiektów</t>
  </si>
  <si>
    <t>Ochrona wód Zatoki Gdańskiej - przebudowa przepompowni ścieków przy Bulwarze Nadmorskim - eliminowanie zanieczyszczeń wprowadzanych do wód powierzchniowych</t>
  </si>
  <si>
    <t>Lokalne Inicjatywy Inwestycyjne - uzbrojenie terenów pod budownictwo mieszkaniowe</t>
  </si>
  <si>
    <t>Oświetlenie ulic - poprawa bezpieczeństwa</t>
  </si>
  <si>
    <t>Lokalne Inicjatywy Inwestycyjne - poprawa bezpieczeństwa</t>
  </si>
  <si>
    <t>Rozbudowa przystani rybackiej w Gdyni - Obłużu - etap I i II - poprawa warunków bezpieczeństwa i higieny pracy w przystani oraz poprawa jakości produktów rybnych pochodzących z połowów w wodach morskich</t>
  </si>
  <si>
    <t>Rozbudowa przystani rybackiej w Gdyni - Oksywie etap II - poprawa warunków bezpieczeństwa i higieny pracy w przystani przy wodowaniu na brzegi łodzi rybackich</t>
  </si>
  <si>
    <t>Kompleksowa termomodernizacja dziewięciu budynków placówek oświatowych na terenie Gdyni - ochrona środowiska poprzez redukcję zanieczyszczeń</t>
  </si>
  <si>
    <t>Placówki oświatowe</t>
  </si>
  <si>
    <t>Dokumentacja przyszłościowa (w tym rewitalizacja rejonu Opata Hackiego, Zamenhofa, Chylońskiej i  komierowskiego)</t>
  </si>
  <si>
    <t>Modernizacja Teatru Muzycznego w Gdyni - wkład własny - rozbudowa infrastruktury kulturalnej</t>
  </si>
  <si>
    <t>Adaptacja pomieszczeń SP 43 na filię biblioteki - podniesienie atrakcyjności kulturalnej i turystycznej miasta</t>
  </si>
  <si>
    <t>Rozbudowa stadionu piłkarskiego przy ul. Olimpijskiej w Gdyni - rozbudowa infrastruktury sportowej</t>
  </si>
  <si>
    <t>Gdyński Ośrodek Sportu i Rekreacji</t>
  </si>
  <si>
    <t>Budowa kompleksu sportowego - stadion Oksywie - rozbudowa infrastruktury sportowej</t>
  </si>
  <si>
    <t>GOSiR</t>
  </si>
  <si>
    <t>Budowa falochronu południowego w marinie - poprawa stanu technicznego obiektów</t>
  </si>
  <si>
    <t>Budowa placu zabaw przy ul. Złotej - I etap - rozbudowa infrastruktury sportowej</t>
  </si>
  <si>
    <t xml:space="preserve">Urząd Miasta </t>
  </si>
  <si>
    <t>Tereny zielone, budowa małej infastruktury służącej ochronie przyrody na obszarze rezerwatu Kępa Redłowska w Gdyni - rozwój terenów zielonych w mieście, zachowanie i prtzywrócenie właściwego stanu zbiorowisk roslinnych klifu i wysoczyzny morenowej oraz cennych gatunków flory i fauny, a zwłaszcza jarzębu szwedzkiego</t>
  </si>
  <si>
    <t>Regulacje cieków i kanalizacje burzowe, uzupełnianie kanalizacji sanitarnej i sieci wodociagowej, rozbudowa systemów kanalizacji sanitarnej i  zaopatrzenia w wodę na obszarze gdyni - eliminowanie zanieczyszczeń wprowadzanych do wód powierzchniowych, uzupełnienia uzbrojenia terenów zurbanizowanych, koszty niekwalifikowane (przygotowanie zadań do realizacji)</t>
  </si>
  <si>
    <t>Załącznik nr 2 do WPF miasta Gdyni na lata 2011 - 2022</t>
  </si>
  <si>
    <t>Lp.</t>
  </si>
  <si>
    <t>Wyszczególnienie</t>
  </si>
  <si>
    <t>Rok 2011</t>
  </si>
  <si>
    <t>Rok 2012</t>
  </si>
  <si>
    <t>Rok 2014</t>
  </si>
  <si>
    <t>Rok 2015</t>
  </si>
  <si>
    <t>Rok 2016</t>
  </si>
  <si>
    <t>Rok 2018</t>
  </si>
  <si>
    <t>Rok 2019</t>
  </si>
  <si>
    <t>Rok 2020</t>
  </si>
  <si>
    <t>Rok 2022</t>
  </si>
  <si>
    <t>a</t>
  </si>
  <si>
    <t>dochody bieżące</t>
  </si>
  <si>
    <t>b</t>
  </si>
  <si>
    <t xml:space="preserve">dochody majątkowe,  w tym: </t>
  </si>
  <si>
    <t>c</t>
  </si>
  <si>
    <t>ze sprzedaży majątku</t>
  </si>
  <si>
    <t xml:space="preserve">  z tytułu gwarancji i poręczeń, w tym:</t>
  </si>
  <si>
    <t>d</t>
  </si>
  <si>
    <t>e</t>
  </si>
  <si>
    <t>Wynik budżetu po wykonaniu wydatków bieżących (bez obsługi długu) (1-2) 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</si>
  <si>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</si>
  <si>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</si>
  <si>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Środki do dyspozycji (3+4+5)</t>
  </si>
  <si>
    <t>Spłata i obsługa długu, z tego: </t>
  </si>
  <si>
    <t>rozchody z tytułu spłaty rat kapitałowych oraz wykupu obligacji</t>
  </si>
  <si>
    <t>wydatki bieżące na obsługę długu</t>
  </si>
  <si>
    <t>Inne rozchody (bez spłaty długu np. udzielane pożyczki)</t>
  </si>
  <si>
    <t>Środki do dyspozycji na wydatki majątkowe (6-7-8)</t>
  </si>
  <si>
    <t>wydatki majątkowe objęte limitem art. 226 ust. 4 ufp</t>
  </si>
  <si>
    <t>kwota wyłączeń z art. 243 ust. 3 pkt 1 ufp oraz z art. 170 ust. 3 sufp przypadająca na dany rok budżetowy</t>
  </si>
  <si>
    <t xml:space="preserve">15. </t>
  </si>
  <si>
    <t>x</t>
  </si>
  <si>
    <t>Zgodny z  art. 243 ufp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</si>
  <si>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</si>
  <si>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</si>
  <si>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</si>
  <si>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</si>
  <si>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</si>
  <si>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Sposób sfinansowania spłaty długu (kwota powinna być zgodna z kwotą wykazaną w poz. 7a),
z tego: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</si>
  <si>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</si>
  <si>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</si>
  <si>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</si>
  <si>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</si>
  <si>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</si>
  <si>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</si>
  <si>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</si>
  <si>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</si>
  <si>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………………………………………………………………….</t>
  </si>
  <si>
    <t>*   Kwoty w poz.: 1, 1a, 1c, 2, 2c, 2d, 7, 7a, 7b, 11, 13, 13a, 14, 15 oraz 16 (komórki oznaczone kolorem niebieskim) należy wykazać w całym okresie, na który zaciągnięto oraz planuje się zaciągnąć zobowiązania.</t>
  </si>
  <si>
    <t>** powinna zostać spełniona zależność odnośnie lewej strony wzoru po uwzględnieniu poz. 14 w stosunku do prawej strony wzoru - niewłaściwe skreślić</t>
  </si>
  <si>
    <r>
      <t>Rok 2013</t>
    </r>
    <r>
      <rPr>
        <b/>
        <sz val="10"/>
        <color indexed="8"/>
        <rFont val="Times New Roman"/>
        <family val="1"/>
      </rPr>
      <t xml:space="preserve"> </t>
    </r>
  </si>
  <si>
    <r>
      <t>Rok 2017</t>
    </r>
    <r>
      <rPr>
        <b/>
        <sz val="10"/>
        <color indexed="8"/>
        <rFont val="Times New Roman"/>
        <family val="1"/>
      </rPr>
      <t xml:space="preserve"> </t>
    </r>
  </si>
  <si>
    <r>
      <t>Rok 2021</t>
    </r>
    <r>
      <rPr>
        <b/>
        <sz val="10"/>
        <color indexed="8"/>
        <rFont val="Times New Roman"/>
        <family val="1"/>
      </rPr>
      <t xml:space="preserve"> </t>
    </r>
  </si>
  <si>
    <r>
      <t>[1]</t>
    </r>
    <r>
      <rPr>
        <u val="single"/>
        <sz val="10"/>
        <color indexed="12"/>
        <rFont val="Times New Roman"/>
        <family val="1"/>
      </rPr>
      <t xml:space="preserve"> Pozycja 1 jest sumą pozycji 1a+1b.</t>
    </r>
  </si>
  <si>
    <r>
      <t>[2]</t>
    </r>
    <r>
      <rPr>
        <u val="single"/>
        <sz val="10"/>
        <color indexed="12"/>
        <rFont val="Times New Roman"/>
        <family val="1"/>
      </rPr>
      <t xml:space="preserve"> Poz. 2 nie musi być sumą podpozycji. Pozycja powinna zawierać też spłatę zobowiązań wymagalnych z lat ubiegłych stanowiących wydatki bieżące, o ile takie powstały.</t>
    </r>
  </si>
  <si>
    <r>
      <t xml:space="preserve">[3] </t>
    </r>
    <r>
      <rPr>
        <u val="single"/>
        <sz val="10"/>
        <color indexed="12"/>
        <rFont val="Times New Roman"/>
        <family val="1"/>
      </rPr>
      <t>W tej pozycji należy wykazać wynagrodzenie ze wszystkich tytułów, a nie tylko wynagrodzenia ze stosunku o pracę.</t>
    </r>
  </si>
  <si>
    <r>
      <t>[4]</t>
    </r>
    <r>
      <rPr>
        <u val="single"/>
        <sz val="10"/>
        <color indexed="12"/>
        <rFont val="Times New Roman"/>
        <family val="1"/>
      </rPr>
      <t xml:space="preserve"> Za wydatki związane z funkcjonowaniem organów JST proponuje się uznać wydatki klasyfikowane w rozdziałach 75017-75020, 75022-75023.</t>
    </r>
  </si>
  <si>
    <r>
      <t>[5]</t>
    </r>
    <r>
      <rPr>
        <u val="single"/>
        <sz val="10"/>
        <color indexed="12"/>
        <rFont val="Times New Roman"/>
        <family val="1"/>
      </rPr>
      <t xml:space="preserve"> Kwota wykazana w tej pozycji musi być zgodna z kwotą wykazaną w załączniku przedsięwzięć.</t>
    </r>
  </si>
  <si>
    <r>
      <t>[6]</t>
    </r>
    <r>
      <rPr>
        <u val="single"/>
        <sz val="10"/>
        <color indexed="12"/>
        <rFont val="Times New Roman"/>
        <family val="1"/>
      </rPr>
      <t xml:space="preserve"> Inne przychody w tej pozycji to: prywatyzacja, zwrot do budżetu od innych podmiotów udzielonych pożyczek.</t>
    </r>
  </si>
  <si>
    <r>
      <t>[7]</t>
    </r>
    <r>
      <rPr>
        <u val="single"/>
        <sz val="10"/>
        <color indexed="12"/>
        <rFont val="Times New Roman"/>
        <family val="1"/>
      </rPr>
      <t xml:space="preserve">   Pozycja powinna zawierać też spłatę zobowiązań wymagalnych z lat ubiegłych stanowiących wydatki majątkowe, o ile takie powstały.</t>
    </r>
  </si>
  <si>
    <r>
      <t>[8]</t>
    </r>
    <r>
      <rPr>
        <u val="single"/>
        <sz val="10"/>
        <color indexed="12"/>
        <rFont val="Times New Roman"/>
        <family val="1"/>
      </rPr>
      <t xml:space="preserve"> Wszystkie kredyty i pożyczki oraz emitowane papiery wartościowe, z wyjątkiem art. 89 ust. 1 pkt 1 ufp.</t>
    </r>
  </si>
  <si>
    <r>
      <t>[9]</t>
    </r>
    <r>
      <rPr>
        <u val="single"/>
        <sz val="10"/>
        <color indexed="12"/>
        <rFont val="Times New Roman"/>
        <family val="1"/>
      </rPr>
      <t xml:space="preserve"> Wynik finansowy budżetu jest odmienną pozycją niż wynik budżetu w tradycyjnym rozumieniu (dochody- wydatki), gdyż do wyniku finansowego budżetu włączono także przychody i rozchody.</t>
    </r>
  </si>
  <si>
    <r>
      <t xml:space="preserve">[10] </t>
    </r>
    <r>
      <rPr>
        <u val="single"/>
        <sz val="10"/>
        <color indexed="12"/>
        <rFont val="Times New Roman"/>
        <family val="1"/>
      </rPr>
      <t>W pozycji tej należy podać łączną kwotę długu na koniec roku budżetowego z wszystkich tytułów dłużnych i elementów wpływających na dług m.in. zobowiązania wymagalne, umorzenia pożyczek, zmiany     kursowe. Natomiast w objaśnieniach należałoby wykazać</t>
    </r>
  </si>
  <si>
    <r>
      <t>[11]</t>
    </r>
    <r>
      <rPr>
        <u val="single"/>
        <sz val="10"/>
        <color indexed="12"/>
        <rFont val="Times New Roman"/>
        <family val="1"/>
      </rPr>
      <t xml:space="preserve"> Skrót sufp oznacza ustawę z dnia 30 czerwca 2005 r. o finansach publicznych (Dz.U. Nr 249. poz. 2104 ze zm.).</t>
    </r>
  </si>
  <si>
    <r>
      <t xml:space="preserve">[12] </t>
    </r>
    <r>
      <rPr>
        <u val="single"/>
        <sz val="10"/>
        <color indexed="12"/>
        <rFont val="Times New Roman"/>
        <family val="1"/>
      </rPr>
      <t>W pozycji podaje się kwotę, o której mowa w art. 244 ufp.</t>
    </r>
  </si>
  <si>
    <r>
      <t xml:space="preserve">[13] </t>
    </r>
    <r>
      <rPr>
        <u val="single"/>
        <sz val="10"/>
        <color indexed="12"/>
        <rFont val="Times New Roman"/>
        <family val="1"/>
      </rPr>
      <t>W pozycji tej pokazuje się wartość wynikającą z obliczeń przeprowadzonych dla lewej strony wzoru, określonego w art. 243 ufp.</t>
    </r>
  </si>
  <si>
    <r>
      <t>[14]</t>
    </r>
    <r>
      <rPr>
        <u val="single"/>
        <sz val="10"/>
        <color indexed="12"/>
        <rFont val="Times New Roman"/>
        <family val="1"/>
      </rPr>
      <t xml:space="preserve"> W pozycji tej pokazuje się wartość wynikającą z obliczeń przeprowadzonych dla prawej strony wzoru, o którym mowa w art. 243 ufp.</t>
    </r>
  </si>
  <si>
    <r>
      <t>[15]</t>
    </r>
    <r>
      <rPr>
        <u val="single"/>
        <sz val="10"/>
        <color indexed="12"/>
        <rFont val="Times New Roman"/>
        <family val="1"/>
      </rPr>
      <t xml:space="preserve"> W pozycji 16 należy wyliczyć lewą stronę wzoru z uwzględnieniem pozycji 14 i porównać z prawą stroną wzoru wyliczoną w poz. 15, co pozwoli określić czy został spełniony warunek art. 243 ufp</t>
    </r>
  </si>
  <si>
    <r>
      <t>[16]</t>
    </r>
    <r>
      <rPr>
        <u val="single"/>
        <sz val="10"/>
        <color indexed="12"/>
        <rFont val="Times New Roman"/>
        <family val="1"/>
      </rPr>
      <t xml:space="preserve"> Poz. 17-18 są wypełniane tylko do roku 2013 włącznie. </t>
    </r>
  </si>
  <si>
    <r>
      <t xml:space="preserve">[17] </t>
    </r>
    <r>
      <rPr>
        <u val="single"/>
        <sz val="10"/>
        <color indexed="12"/>
        <rFont val="Times New Roman"/>
        <family val="1"/>
      </rPr>
      <t>W pozycjach 17 i 18 nie uwzględnia się zobowiązań związku współtworzonego przez jednostkę samorządu terytorialnego.</t>
    </r>
  </si>
  <si>
    <t>Załącznik do uchwały Rady Miasta nr ……………………….</t>
  </si>
  <si>
    <t>na wynagrodzenia i składki od nich naliczane</t>
  </si>
  <si>
    <t>związane z funkcjonowaniem organów JST</t>
  </si>
  <si>
    <t>wydatki bieżące objęte limitem art. 226 ust. 4 ufp</t>
  </si>
  <si>
    <t>Inne przychody niezwiązane z zaciągnięciem długu</t>
  </si>
  <si>
    <t>Przychody (kredyty, pożyczki, emisje obligacji)</t>
  </si>
  <si>
    <t>Kwota zobowiązań związku współtworzonego przez jst przypadających do spłaty w danym roku budżetowym podlegające doliczeniu zgodnie z art. 244 ufp</t>
  </si>
  <si>
    <t>łączna kwota wyłączeń z art. 243 ust. 3 pkt 1 ufp oraz z art. 170 ust. 3 sufp</t>
  </si>
  <si>
    <t>Planowana łączna kwota spłaty zobowiązań</t>
  </si>
  <si>
    <t>Maksymalny dopuszczalny wskaźnik spłaty  z art. 243 ufp</t>
  </si>
  <si>
    <t>Spełnienie wskaźnika spłaty z art. 243 ufp po uwzględnieniu art. 244 ufp</t>
  </si>
  <si>
    <t>Załącznik do uzasadnienia do WPF miasta Gdyni na lata 2011 - 2022</t>
  </si>
  <si>
    <t>WIELOLETNI   PROGRAM   INWESTYCYJNY  NA   LATA   2011 - 2015</t>
  </si>
  <si>
    <t>lp.</t>
  </si>
  <si>
    <t>Nazwa zadania inwestycyjnego</t>
  </si>
  <si>
    <t>Cel zadania</t>
  </si>
  <si>
    <t>jednostka realizująca</t>
  </si>
  <si>
    <t>okres realizacji</t>
  </si>
  <si>
    <t xml:space="preserve">wartość inwestycji </t>
  </si>
  <si>
    <t>nakłady poniesione do 31.12.2010</t>
  </si>
  <si>
    <t>Nakłady do poniesienia w latach</t>
  </si>
  <si>
    <t>Nakłady po roku 2013</t>
  </si>
  <si>
    <t>WYDATKI  INWESTYCYJNE  ŁĄCZNIE</t>
  </si>
  <si>
    <t>w  tym  ŚRODKI  FINANSOWE  GMINY</t>
  </si>
  <si>
    <t>I</t>
  </si>
  <si>
    <t>DZIAŁ  400  WYTWARZANIE I ZAOPATRYWANIE W ENERGIĘ ELEKTRYCZNĄ, GAZ I WODĘ</t>
  </si>
  <si>
    <t>ROZDZIAŁ 40002 DOSTARCZANIE WODY</t>
  </si>
  <si>
    <t>uzbrojenie terenów pod budownictwo</t>
  </si>
  <si>
    <t>UM - Wydział Nadzoru Właścicielskiego</t>
  </si>
  <si>
    <t>2011 - 2012</t>
  </si>
  <si>
    <t>II</t>
  </si>
  <si>
    <t>DZIAŁ  600  TRANSPORT  I  ŁĄCZNOŚĆ</t>
  </si>
  <si>
    <t>ROZDZIAŁ 60004 LOKALNY TRANSPORT ZBIOROWY</t>
  </si>
  <si>
    <t xml:space="preserve"> - dokumentacja przyszłościowa - rozwój proekologicznego transportu publicznego na obszarze metropolitalnym Trójmiasto</t>
  </si>
  <si>
    <t xml:space="preserve">przygotowanie zadań do realizacji </t>
  </si>
  <si>
    <t>UM - Wydział Inwestycji</t>
  </si>
  <si>
    <t xml:space="preserve"> - Kolej Metropolitalna (udział w projekcie regionalnym)</t>
  </si>
  <si>
    <t xml:space="preserve">udział w realizcji projektu regionalnego </t>
  </si>
  <si>
    <t>2013 - 2015</t>
  </si>
  <si>
    <t>ROZDZIAŁ 60015 DROGI  PUBLICZNE  W  MIASTACH  NA PRAWACH  POWIATU</t>
  </si>
  <si>
    <t xml:space="preserve"> - przebudowa układu drogowego węzła Św. Maksymiliana wraz z budową tunelu drogowego pod Drogą Gdyńską, torami SKM i PKP w Gdyni </t>
  </si>
  <si>
    <t xml:space="preserve">poprawa systemu drogowego i układu komunikacji miejskiej </t>
  </si>
  <si>
    <t>2009 - 2011</t>
  </si>
  <si>
    <t>środki finansowe gminy</t>
  </si>
  <si>
    <t>dofinansowanie ze środków UE</t>
  </si>
  <si>
    <t>wydatki niekwalifikowane w ramach Projektu</t>
  </si>
  <si>
    <t xml:space="preserve"> - przebudowa układu drogowego węzła Św. Maksymiliana wraz z budową tunelu drogowego pod Drogą Gdyńską, torami SKM i PKP w Gdyni - koszty niekwalifikowane poza Projektem</t>
  </si>
  <si>
    <t xml:space="preserve"> - przebudowa skrzyżowania ul. Chylońskiej i Północnej</t>
  </si>
  <si>
    <t>2010 - 2011</t>
  </si>
  <si>
    <t xml:space="preserve"> - budowa ścieżek rowerowych</t>
  </si>
  <si>
    <t>rozbudowa sieci nowoczesnych dróg rowerowych i ograniczenie emisji spalin</t>
  </si>
  <si>
    <t>2010 - 2013</t>
  </si>
  <si>
    <t xml:space="preserve"> - Rozwój Komunikacji Rowerowej w Aglomeracji Trójmiejskiej (dokumentacja projektowa)</t>
  </si>
  <si>
    <t xml:space="preserve"> - Rozwój Komunikacji Rowerowej w Aglomeracji Trójmiejskiej </t>
  </si>
  <si>
    <t xml:space="preserve">wydatki niekwalifikowane </t>
  </si>
  <si>
    <t>zwiększenie przepustowości sieci dróg i usprawnie transportu miejskiego</t>
  </si>
  <si>
    <t>2009 - 2014</t>
  </si>
  <si>
    <t xml:space="preserve"> - TRISTAR - koszty niekwalifikowane (przebudowa skrzyżowań - dokumentacja przyszłościowa)</t>
  </si>
  <si>
    <t xml:space="preserve"> - przebudowa uilcy Chwarznieńskiej - I etap</t>
  </si>
  <si>
    <t>2010 - 2012</t>
  </si>
  <si>
    <t xml:space="preserve"> - przebudowa uilcy Chwarznieńskiej - II etap</t>
  </si>
  <si>
    <t xml:space="preserve"> - przebudowa dróg powiatowych</t>
  </si>
  <si>
    <t>2011 - 2013</t>
  </si>
  <si>
    <t xml:space="preserve"> - dokumentacja przyszłościowa - budowa Obwodowej Północnej Aglomeracja Trójmiejskiej </t>
  </si>
  <si>
    <t xml:space="preserve"> - dokumentacja przyszłościowa</t>
  </si>
  <si>
    <t xml:space="preserve"> - wykupy gruntów</t>
  </si>
  <si>
    <t>UM - Wydział Polityki Gospodarczej i Nieruchomości</t>
  </si>
  <si>
    <t xml:space="preserve"> ROZDZIAŁ   60016  DROGI  PUBLICZNE  GMINNE</t>
  </si>
  <si>
    <t xml:space="preserve"> - przebudowa odcinka ulicy Bp. Dominika - dojazd do Szkoły Muzycznej</t>
  </si>
  <si>
    <t xml:space="preserve">poprawa lokalnego systemu drogowego </t>
  </si>
  <si>
    <t>UM - Wydział Budynków</t>
  </si>
  <si>
    <t>2012 - 2013</t>
  </si>
  <si>
    <t xml:space="preserve"> - modernizacja ulic gminnych</t>
  </si>
  <si>
    <t xml:space="preserve"> - przebudowa ulicy Przebendowskich</t>
  </si>
  <si>
    <t xml:space="preserve"> - Lokalne Inicjatywy Inwestycyjne</t>
  </si>
  <si>
    <t>uzbrojenie terenów pod budownictwo mieszkaniowe</t>
  </si>
  <si>
    <t>przygotowanie zadań do realizacji</t>
  </si>
  <si>
    <t xml:space="preserve"> ROZDZIAŁ   60095  POZOSTAŁA DZIAŁALNOŚĆ</t>
  </si>
  <si>
    <t xml:space="preserve"> - udziały Gminy w Porcie Lotniczym Gdańsk Sp. z o.o.</t>
  </si>
  <si>
    <t xml:space="preserve">udział w realizcji projektu rozbudowy portu lotniczego </t>
  </si>
  <si>
    <t xml:space="preserve"> - udziały Gminy w Porcie Lotniczym Gdynia-Kosakowo</t>
  </si>
  <si>
    <t xml:space="preserve">udział w realizcji projektu  </t>
  </si>
  <si>
    <t xml:space="preserve"> - udział Gminy w budowie drogi do Portu Lotniczego Gdynia-Kosakowo</t>
  </si>
  <si>
    <t>III</t>
  </si>
  <si>
    <t xml:space="preserve">DZIAŁ 710 DZIAŁALNOŚĆ USŁUGOWA      </t>
  </si>
  <si>
    <t>ROZDZIAŁ 71035   CMENTARZE</t>
  </si>
  <si>
    <t xml:space="preserve"> - rozbudowa cmentarzy ZCK</t>
  </si>
  <si>
    <t>poprawa stanu technicznego obiektów</t>
  </si>
  <si>
    <t xml:space="preserve">ROZDZIAŁ 71095  POZOSTAŁA  DZIAŁALNOŚĆ </t>
  </si>
  <si>
    <t xml:space="preserve"> - Pomorski Park Naukowo-Technologiczny - koszty niekwalifikowane</t>
  </si>
  <si>
    <t xml:space="preserve">podniesienie poziomu nowoczesności innowacyjności gdyńskiej gospodarki </t>
  </si>
  <si>
    <t>GCI</t>
  </si>
  <si>
    <t>2009 - 2012</t>
  </si>
  <si>
    <t xml:space="preserve"> - Pomorski Park Naukowo-
Technologiczny - rozbudowa - etap 3</t>
  </si>
  <si>
    <t>środki budżetu państwa</t>
  </si>
  <si>
    <t xml:space="preserve"> - Pomorski Park Naukowo-
Technologiczny - rozbudowa - etap 4</t>
  </si>
  <si>
    <t>IV</t>
  </si>
  <si>
    <t>DZIAŁ 750 ADMINISTARACJA PUBLICZNA</t>
  </si>
  <si>
    <t>ROZDZIAŁ 75023 URZĘDY GMIN (MIAST I MIAST NA PRAWACH POWIATU</t>
  </si>
  <si>
    <t>V</t>
  </si>
  <si>
    <t>DZIAŁ754 BEZPIECZEŃSTWO PUBLICZNE I OCHRONA PRZECIWPOŻAROWA</t>
  </si>
  <si>
    <t>ROZDZIAŁ 75495   POZOSTAŁA DZIAŁALNOŚĆ</t>
  </si>
  <si>
    <t xml:space="preserve"> - monitoring wizyjny miasta </t>
  </si>
  <si>
    <t>poprawa bezpieczeństwa</t>
  </si>
  <si>
    <t>UM - Wydział Zarządzania Kryzysowego</t>
  </si>
  <si>
    <t>2008 - 2013</t>
  </si>
  <si>
    <t>VI</t>
  </si>
  <si>
    <t xml:space="preserve"> DZIAŁ  801 -  OŚWIATA I WYCHOWANIE</t>
  </si>
  <si>
    <t xml:space="preserve">  ROZDZIAŁ  80101   SZKOŁY PODSTAWOWE</t>
  </si>
  <si>
    <t xml:space="preserve"> - przebudowa szkół</t>
  </si>
  <si>
    <t>poprawa stanu technicznego obiektów oświatowych</t>
  </si>
  <si>
    <t>Chwarzno i poradnia</t>
  </si>
  <si>
    <t xml:space="preserve"> - budowa szkół</t>
  </si>
  <si>
    <t>rozbudowa infrastruktury oświatowej</t>
  </si>
  <si>
    <t>2013 - 2014</t>
  </si>
  <si>
    <t xml:space="preserve">  ROZDZIAŁ  80104  PRZEDSZKOLA</t>
  </si>
  <si>
    <t xml:space="preserve"> - budowa przedszkola</t>
  </si>
  <si>
    <t xml:space="preserve">  ROZDZIAŁ  80120  LICEA  OGÓLNOKSZTAŁCĄCE</t>
  </si>
  <si>
    <t>2011 - 2014</t>
  </si>
  <si>
    <t xml:space="preserve">  ROZDZIAŁ  80134   SZKOŁY ZAWODOWE SPECJALNE</t>
  </si>
  <si>
    <t>ROZDZIAŁ 80132  SZKOŁY  ARTYSTYCZNE</t>
  </si>
  <si>
    <t>Przebudowa i rozbudowa Szkoły Muzycznej I i II stopnia im. Z. Noskowskiego w Gdyni</t>
  </si>
  <si>
    <t>poprawa warunków funkcjonowania i wzbogacenie oferty edukacyjnej i kulturalnej placówki</t>
  </si>
  <si>
    <t>VII</t>
  </si>
  <si>
    <t>DZIAŁ  851 - OCHRONA ZDROWIA</t>
  </si>
  <si>
    <t xml:space="preserve">  ROZDZIAŁ  85111   SZPITALE OGÓLNE</t>
  </si>
  <si>
    <t xml:space="preserve"> - dofinansowanie rozbudowy części zabiegowej Gdyńskiego Centrum Onkologii przy Szpitalu Morskim im. PCK w Gdyni wraz z zakupem niezbednego sprzetu i wyposażenia</t>
  </si>
  <si>
    <t>poprawa dostępności i jakości leczenia chorób nowotworowych</t>
  </si>
  <si>
    <t>UM - Wydział Integracji Europejskiej</t>
  </si>
  <si>
    <t>2009-2013</t>
  </si>
  <si>
    <t>VIII</t>
  </si>
  <si>
    <t>DZIAŁ  854 - EDUKACYJNA OPIEKA WYCHOWAWCZA</t>
  </si>
  <si>
    <t>RODZIAŁ 85406 PORADNIE PSYCHOLOGICZNO-PEDAGOGICZNE, W TYM PORADNIE SPECJALISTYCZNE</t>
  </si>
  <si>
    <t xml:space="preserve"> - adaptacja pomieszczeń na poradnie psychologiczno-pedegogiczne</t>
  </si>
  <si>
    <t>IX</t>
  </si>
  <si>
    <t xml:space="preserve"> DZIAŁ  900 - GOSPODARKA  KOMUNALNA  I  OCHRONA  ŚRODOWISKA</t>
  </si>
  <si>
    <t xml:space="preserve"> ROZDZIAŁ  90001  GOSPODARKA ŚCIEKOWA I OCHRONA WÓD</t>
  </si>
  <si>
    <t xml:space="preserve"> - regulacje cieków i kanalizacje burzowe</t>
  </si>
  <si>
    <t>eliminowanie zanieczyszczeń wprowadzanych do wód powierzchniowych</t>
  </si>
  <si>
    <t xml:space="preserve"> - uzupełnienie kanalizacji sanitarnej i sieci   wodociągowej</t>
  </si>
  <si>
    <t>uzupełnienie uzbrojenia terenów zurbanizowanych (ochrona wód przybrzeżnych)</t>
  </si>
  <si>
    <t xml:space="preserve"> - rozbudowa systemów kanalizacji sanitarnej i zaopatrzenia w wodę na obszarze Gdyni - koszty niekwalifikowane</t>
  </si>
  <si>
    <t xml:space="preserve"> - ochrona wód Zatoki Gdańskiej - budowa i modernizacja systemu odprowadzania wód opadowych w Gdyni</t>
  </si>
  <si>
    <t xml:space="preserve"> - ochrona wód Zatoki Gdańskiej - przebudowa przepompowni ścieków przy Bulwarze Nadmorskim</t>
  </si>
  <si>
    <t>ROZDZIAŁ  90004  UTRZYMANIE ZIELENI W MIASTACH I GMINACH</t>
  </si>
  <si>
    <t xml:space="preserve"> - tereny zielone</t>
  </si>
  <si>
    <t>rozwój terenów zielonych w mieście</t>
  </si>
  <si>
    <t xml:space="preserve"> - budowa małej infrastruktury służącej ochronie przyrody na obszarze rezerwatu Kępa Redłowska w Gdyni</t>
  </si>
  <si>
    <t>zachowanie i przywrócenie właściwego stanu zbiorowisk roślinnych klifu i wysoczyzny morenowej oraz cennych gatunków flory i fauny, a zwłaszcza jarzębu szwedzkiego</t>
  </si>
  <si>
    <t>UM - Biuro Ogrodnika Miasta</t>
  </si>
  <si>
    <t>ROZDZIAŁ  90015   OŚWIETLENIE  ULIC</t>
  </si>
  <si>
    <t xml:space="preserve"> - oświetlenie ulic</t>
  </si>
  <si>
    <t>ROZDZIAŁ  90095 POZOSTAŁA DZIAŁALNOŚĆ</t>
  </si>
  <si>
    <t xml:space="preserve"> - rozbudowa przystani rybackiej w Gdyni-Obłużu - etap I</t>
  </si>
  <si>
    <t>poprawa warunków bezpieczeństwa i higieny pracy w przystani oraz poprawa jakości produktów rybnych pochodzących z połowów w wodach morskich</t>
  </si>
  <si>
    <t xml:space="preserve"> - rozbudowa przystani rybackiej w Gdyni-Obłużu - etap II</t>
  </si>
  <si>
    <t>poprawa warunków bezpieczeństwa i higieny pracy w przystani przy wodowaniu i wyciąganiu na brzeg łodzi rybackich</t>
  </si>
  <si>
    <t xml:space="preserve"> - rozbudowa przystani rybackiej w Gdyni-Oksywie - etap II</t>
  </si>
  <si>
    <t xml:space="preserve"> - kompleksowa termomodernizacja dziewięciu budynków placówek oświatowych na terenie Gdyni</t>
  </si>
  <si>
    <t>ochrona środowiska poprzez redukcję zanieczyszczeń</t>
  </si>
  <si>
    <t>współfinansowanie EFRR</t>
  </si>
  <si>
    <t>X</t>
  </si>
  <si>
    <t xml:space="preserve"> DZIAŁ  921  KULTURA  I  OCHRONA  DZIEDZICTWA  NARODOWEGO  </t>
  </si>
  <si>
    <t xml:space="preserve"> ROZDZIAŁ 92106  TEATRY</t>
  </si>
  <si>
    <t xml:space="preserve"> - modernizacja Teatru Muzycznego w Gdyni - wkład własny </t>
  </si>
  <si>
    <t>rozbudowa infrastruktury kulturalnej</t>
  </si>
  <si>
    <t>UM - Wydział Kultury</t>
  </si>
  <si>
    <t xml:space="preserve"> ROZDZIAŁ 92116  BIBLIOTEKI</t>
  </si>
  <si>
    <t xml:space="preserve"> - adaptacja pomieszczeń SP 43 na filię biblioteki</t>
  </si>
  <si>
    <t>podniesienie atrakcyjności kulturalnej i turystycznej miasta</t>
  </si>
  <si>
    <t>XI</t>
  </si>
  <si>
    <t xml:space="preserve"> DZIAŁ  926  ROZDZIAŁ  92601   KULTURA  FIZYCZNA  I  SPORT  -  OBIEKTY SPORTOWE</t>
  </si>
  <si>
    <t xml:space="preserve"> - rozbudowa stadionu piłkarskiego przy ul. Olimpijskiej w Gdyni</t>
  </si>
  <si>
    <t>rozbudowa infrastruktury sportowej</t>
  </si>
  <si>
    <t xml:space="preserve"> - budowa falochronu południowego w marinie</t>
  </si>
  <si>
    <t xml:space="preserve"> - budowa kompleksu sportowego - stadion Oksywie</t>
  </si>
  <si>
    <t xml:space="preserve"> - budowa placu zabaw przy ul. Złotej - I etap</t>
  </si>
  <si>
    <r>
      <t xml:space="preserve"> - rozbudowa systemów kanalizacji sanitarnej i zaopatrzenia w wodę na obszarze Gdyni - </t>
    </r>
    <r>
      <rPr>
        <i/>
        <sz val="8"/>
        <rFont val="Arial CE"/>
        <family val="0"/>
      </rPr>
      <t>wkład własny w realizację Projektu z udziałem środków UE</t>
    </r>
  </si>
  <si>
    <r>
      <t xml:space="preserve"> - wdrożenie Zintegrowanego Systemu Zarządzania Ruchem TRISTAR w Gdańsku, Gdyni i Sopocie</t>
    </r>
    <r>
      <rPr>
        <i/>
        <sz val="8"/>
        <rFont val="Arial CE"/>
        <family val="2"/>
      </rPr>
      <t xml:space="preserve"> </t>
    </r>
  </si>
  <si>
    <r>
      <t xml:space="preserve"> - dokumentacja przyszłościowa </t>
    </r>
    <r>
      <rPr>
        <i/>
        <sz val="8"/>
        <rFont val="Arial CE"/>
        <family val="0"/>
      </rPr>
      <t xml:space="preserve">(w tym rewitalizacja rejonu Opata Hackiego, Zamenhofa, Chylońskiej i Komierowskiego) </t>
    </r>
  </si>
  <si>
    <t xml:space="preserve">Dochody ogółem, w tym: </t>
  </si>
  <si>
    <t>Wydatki bieżące (bez odsetek i prowizji od kredytów i pożyczek oraz wyemitowanych papierów wartościowych ), w tym:</t>
  </si>
  <si>
    <t>gwarancje i poręczenia podlegające wyłączeniu z limitów spłaty zobowiązań z art. 243 ufp/169sufp</t>
  </si>
  <si>
    <r>
      <t>Wydatki majątkowe</t>
    </r>
    <r>
      <rPr>
        <b/>
        <u val="single"/>
        <vertAlign val="superscript"/>
        <sz val="10"/>
        <rFont val="Times New Roman"/>
        <family val="1"/>
      </rPr>
      <t>,</t>
    </r>
    <r>
      <rPr>
        <b/>
        <u val="single"/>
        <sz val="10"/>
        <rFont val="Times New Roman"/>
        <family val="1"/>
      </rPr>
      <t xml:space="preserve"> w tym:</t>
    </r>
  </si>
  <si>
    <t>Kwota długu, w tym:</t>
  </si>
  <si>
    <r>
      <t>Spłata zadłużenia/dochody ogółem (7-13a +2c –2d):1)  -max 15%  z art. 169 sufp</t>
    </r>
    <r>
      <rPr>
        <b/>
        <u val="single"/>
        <vertAlign val="superscript"/>
        <sz val="10"/>
        <rFont val="Times New Roman"/>
        <family val="1"/>
      </rPr>
      <t>[16]</t>
    </r>
  </si>
  <si>
    <r>
      <t>Zadłużenie/dochody ogółem (13 –13a):1) - max 60% z art. 170 sufp</t>
    </r>
    <r>
      <rPr>
        <b/>
        <u val="single"/>
        <vertAlign val="superscript"/>
        <sz val="10"/>
        <rFont val="Times New Roman"/>
        <family val="1"/>
      </rPr>
      <t>[17]</t>
    </r>
  </si>
  <si>
    <t>Wynik finansowy budżetu (9-10+11)</t>
  </si>
  <si>
    <t>WIELOLETNIA PROGNOZA FINANSOWA MIASTA GDYNI 2011-2022</t>
  </si>
</sst>
</file>

<file path=xl/styles.xml><?xml version="1.0" encoding="utf-8"?>
<styleSheet xmlns="http://schemas.openxmlformats.org/spreadsheetml/2006/main">
  <numFmts count="6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00"/>
    <numFmt numFmtId="170" formatCode="#,##0.0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0.0%"/>
    <numFmt numFmtId="180" formatCode="0.000%"/>
    <numFmt numFmtId="181" formatCode="0.000000000"/>
    <numFmt numFmtId="182" formatCode="yy\-mm\-dd"/>
    <numFmt numFmtId="183" formatCode="dd\-mmm\-yy"/>
    <numFmt numFmtId="184" formatCode="dd\-mmm"/>
    <numFmt numFmtId="185" formatCode="mmm\-yy"/>
    <numFmt numFmtId="186" formatCode="yy\-mm\-dd\ hh:mm"/>
    <numFmt numFmtId="187" formatCode="#,##0.0000"/>
    <numFmt numFmtId="188" formatCode="#,##0.0\ _z_ł;[Red]\-#,##0.0\ _z_ł"/>
    <numFmt numFmtId="189" formatCode="#,##0.00000"/>
    <numFmt numFmtId="190" formatCode="#,##0.000"/>
    <numFmt numFmtId="191" formatCode="0.000"/>
    <numFmt numFmtId="192" formatCode="0.0000000"/>
    <numFmt numFmtId="193" formatCode="0.00000"/>
    <numFmt numFmtId="194" formatCode="0.0000"/>
    <numFmt numFmtId="195" formatCode="0.0000%"/>
    <numFmt numFmtId="196" formatCode="0.00000%"/>
    <numFmt numFmtId="197" formatCode="0.000000%"/>
    <numFmt numFmtId="198" formatCode="0.0000000%"/>
    <numFmt numFmtId="199" formatCode="d\-mmm\-yy"/>
    <numFmt numFmtId="200" formatCode="_-* #,##0.0\ _z_ł_-;\-* #,##0.0\ _z_ł_-;_-* &quot;-&quot;??\ _z_ł_-;_-@_-"/>
    <numFmt numFmtId="201" formatCode="_-* #,##0\ _z_ł_-;\-* #,##0\ _z_ł_-;_-* &quot;-&quot;??\ _z_ł_-;_-@_-"/>
    <numFmt numFmtId="202" formatCode="###,###.#"/>
    <numFmt numFmtId="203" formatCode="###,###.0"/>
    <numFmt numFmtId="204" formatCode="###,###.##"/>
    <numFmt numFmtId="205" formatCode="###,###"/>
    <numFmt numFmtId="206" formatCode="#,##0_ ;\-#,##0\ "/>
    <numFmt numFmtId="207" formatCode="d/mm"/>
    <numFmt numFmtId="208" formatCode="mmmm\ yy"/>
    <numFmt numFmtId="209" formatCode="d\ mmmm\ yyyy"/>
    <numFmt numFmtId="210" formatCode="mmm/yyyy"/>
    <numFmt numFmtId="211" formatCode="mmm\ yy"/>
    <numFmt numFmtId="212" formatCode="###,###.\O"/>
    <numFmt numFmtId="213" formatCode="###.0"/>
    <numFmt numFmtId="214" formatCode="###,###.00"/>
    <numFmt numFmtId="215" formatCode="[$-415]d\ mmmm\ yyyy"/>
    <numFmt numFmtId="216" formatCode="00\-000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0"/>
    </font>
    <font>
      <sz val="10"/>
      <name val="Bookman Old Style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vertAlign val="superscript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Arial CE"/>
      <family val="0"/>
    </font>
    <font>
      <sz val="10"/>
      <name val="Arial CE"/>
      <family val="0"/>
    </font>
    <font>
      <b/>
      <sz val="10"/>
      <name val="Arial CE"/>
      <family val="2"/>
    </font>
    <font>
      <b/>
      <i/>
      <sz val="8"/>
      <name val="Arial CE"/>
      <family val="0"/>
    </font>
    <font>
      <sz val="7"/>
      <name val="Arial CE"/>
      <family val="2"/>
    </font>
    <font>
      <b/>
      <sz val="9"/>
      <name val="Arial CE"/>
      <family val="0"/>
    </font>
    <font>
      <b/>
      <sz val="8"/>
      <name val="Arial CE"/>
      <family val="2"/>
    </font>
    <font>
      <i/>
      <sz val="8"/>
      <name val="Arial CE"/>
      <family val="0"/>
    </font>
    <font>
      <i/>
      <sz val="6"/>
      <name val="Arial"/>
      <family val="2"/>
    </font>
    <font>
      <b/>
      <sz val="14"/>
      <name val="Arial CE"/>
      <family val="2"/>
    </font>
    <font>
      <i/>
      <sz val="7"/>
      <name val="Arial"/>
      <family val="2"/>
    </font>
    <font>
      <i/>
      <sz val="10"/>
      <name val="Arial"/>
      <family val="2"/>
    </font>
    <font>
      <i/>
      <sz val="7"/>
      <name val="Arial CE"/>
      <family val="0"/>
    </font>
    <font>
      <b/>
      <sz val="12"/>
      <name val="Arial CE"/>
      <family val="0"/>
    </font>
    <font>
      <sz val="6"/>
      <name val="Arial CE"/>
      <family val="0"/>
    </font>
    <font>
      <i/>
      <sz val="8"/>
      <name val="Arial"/>
      <family val="2"/>
    </font>
    <font>
      <b/>
      <sz val="9"/>
      <name val="Arial"/>
      <family val="2"/>
    </font>
    <font>
      <b/>
      <i/>
      <sz val="7"/>
      <name val="Arial CE"/>
      <family val="0"/>
    </font>
    <font>
      <sz val="9"/>
      <name val="Arial CE"/>
      <family val="2"/>
    </font>
    <font>
      <b/>
      <sz val="12"/>
      <name val="Bookman Old Style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ck"/>
      <bottom style="medium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74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right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3" fontId="23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/>
    </xf>
    <xf numFmtId="3" fontId="23" fillId="0" borderId="15" xfId="0" applyNumberFormat="1" applyFont="1" applyBorder="1" applyAlignment="1" applyProtection="1">
      <alignment/>
      <protection locked="0"/>
    </xf>
    <xf numFmtId="3" fontId="23" fillId="0" borderId="16" xfId="0" applyNumberFormat="1" applyFont="1" applyBorder="1" applyAlignment="1" applyProtection="1">
      <alignment/>
      <protection locked="0"/>
    </xf>
    <xf numFmtId="3" fontId="23" fillId="0" borderId="17" xfId="0" applyNumberFormat="1" applyFont="1" applyBorder="1" applyAlignment="1" applyProtection="1">
      <alignment/>
      <protection locked="0"/>
    </xf>
    <xf numFmtId="3" fontId="23" fillId="0" borderId="18" xfId="0" applyNumberFormat="1" applyFont="1" applyBorder="1" applyAlignment="1" applyProtection="1">
      <alignment/>
      <protection locked="0"/>
    </xf>
    <xf numFmtId="3" fontId="23" fillId="0" borderId="19" xfId="0" applyNumberFormat="1" applyFont="1" applyBorder="1" applyAlignment="1">
      <alignment vertical="center"/>
    </xf>
    <xf numFmtId="0" fontId="23" fillId="0" borderId="20" xfId="0" applyFont="1" applyBorder="1" applyAlignment="1">
      <alignment/>
    </xf>
    <xf numFmtId="3" fontId="23" fillId="0" borderId="20" xfId="0" applyNumberFormat="1" applyFont="1" applyBorder="1" applyAlignment="1" applyProtection="1">
      <alignment/>
      <protection locked="0"/>
    </xf>
    <xf numFmtId="3" fontId="23" fillId="0" borderId="21" xfId="0" applyNumberFormat="1" applyFont="1" applyBorder="1" applyAlignment="1" applyProtection="1">
      <alignment/>
      <protection locked="0"/>
    </xf>
    <xf numFmtId="3" fontId="23" fillId="0" borderId="22" xfId="0" applyNumberFormat="1" applyFont="1" applyBorder="1" applyAlignment="1" applyProtection="1">
      <alignment/>
      <protection locked="0"/>
    </xf>
    <xf numFmtId="3" fontId="23" fillId="0" borderId="23" xfId="0" applyNumberFormat="1" applyFont="1" applyBorder="1" applyAlignment="1" applyProtection="1">
      <alignment/>
      <protection locked="0"/>
    </xf>
    <xf numFmtId="3" fontId="23" fillId="0" borderId="15" xfId="0" applyNumberFormat="1" applyFont="1" applyBorder="1" applyAlignment="1">
      <alignment vertical="center"/>
    </xf>
    <xf numFmtId="3" fontId="23" fillId="0" borderId="20" xfId="0" applyNumberFormat="1" applyFont="1" applyBorder="1" applyAlignment="1">
      <alignment vertical="center"/>
    </xf>
    <xf numFmtId="3" fontId="23" fillId="0" borderId="20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0" fontId="23" fillId="0" borderId="19" xfId="0" applyFont="1" applyBorder="1" applyAlignment="1">
      <alignment/>
    </xf>
    <xf numFmtId="3" fontId="23" fillId="0" borderId="19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0" borderId="14" xfId="0" applyNumberFormat="1" applyFont="1" applyBorder="1" applyAlignment="1" applyProtection="1">
      <alignment/>
      <protection locked="0"/>
    </xf>
    <xf numFmtId="3" fontId="23" fillId="0" borderId="28" xfId="0" applyNumberFormat="1" applyFont="1" applyBorder="1" applyAlignment="1" applyProtection="1">
      <alignment/>
      <protection locked="0"/>
    </xf>
    <xf numFmtId="3" fontId="23" fillId="0" borderId="29" xfId="0" applyNumberFormat="1" applyFont="1" applyBorder="1" applyAlignment="1" applyProtection="1">
      <alignment/>
      <protection locked="0"/>
    </xf>
    <xf numFmtId="0" fontId="23" fillId="0" borderId="30" xfId="0" applyFont="1" applyBorder="1" applyAlignment="1">
      <alignment/>
    </xf>
    <xf numFmtId="3" fontId="23" fillId="0" borderId="30" xfId="0" applyNumberFormat="1" applyFont="1" applyBorder="1" applyAlignment="1">
      <alignment/>
    </xf>
    <xf numFmtId="3" fontId="23" fillId="0" borderId="31" xfId="0" applyNumberFormat="1" applyFont="1" applyBorder="1" applyAlignment="1">
      <alignment/>
    </xf>
    <xf numFmtId="3" fontId="23" fillId="0" borderId="32" xfId="0" applyNumberFormat="1" applyFont="1" applyBorder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0" fontId="23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/>
    </xf>
    <xf numFmtId="0" fontId="0" fillId="0" borderId="33" xfId="0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3" fontId="20" fillId="0" borderId="35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/>
    </xf>
    <xf numFmtId="3" fontId="20" fillId="0" borderId="14" xfId="0" applyNumberFormat="1" applyFont="1" applyFill="1" applyBorder="1" applyAlignment="1" applyProtection="1">
      <alignment/>
      <protection locked="0"/>
    </xf>
    <xf numFmtId="3" fontId="20" fillId="0" borderId="36" xfId="0" applyNumberFormat="1" applyFont="1" applyFill="1" applyBorder="1" applyAlignment="1" applyProtection="1">
      <alignment/>
      <protection locked="0"/>
    </xf>
    <xf numFmtId="3" fontId="20" fillId="0" borderId="17" xfId="0" applyNumberFormat="1" applyFont="1" applyFill="1" applyBorder="1" applyAlignment="1" applyProtection="1">
      <alignment/>
      <protection locked="0"/>
    </xf>
    <xf numFmtId="3" fontId="20" fillId="0" borderId="18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 applyProtection="1">
      <alignment horizontal="center" vertical="center"/>
      <protection locked="0"/>
    </xf>
    <xf numFmtId="3" fontId="20" fillId="0" borderId="37" xfId="0" applyNumberFormat="1" applyFont="1" applyFill="1" applyBorder="1" applyAlignment="1">
      <alignment vertical="center"/>
    </xf>
    <xf numFmtId="0" fontId="20" fillId="0" borderId="20" xfId="0" applyFont="1" applyFill="1" applyBorder="1" applyAlignment="1">
      <alignment/>
    </xf>
    <xf numFmtId="3" fontId="20" fillId="0" borderId="20" xfId="0" applyNumberFormat="1" applyFont="1" applyFill="1" applyBorder="1" applyAlignment="1" applyProtection="1">
      <alignment/>
      <protection locked="0"/>
    </xf>
    <xf numFmtId="3" fontId="20" fillId="0" borderId="38" xfId="0" applyNumberFormat="1" applyFont="1" applyFill="1" applyBorder="1" applyAlignment="1" applyProtection="1">
      <alignment/>
      <protection locked="0"/>
    </xf>
    <xf numFmtId="3" fontId="20" fillId="0" borderId="22" xfId="0" applyNumberFormat="1" applyFont="1" applyFill="1" applyBorder="1" applyAlignment="1" applyProtection="1">
      <alignment/>
      <protection locked="0"/>
    </xf>
    <xf numFmtId="3" fontId="20" fillId="0" borderId="23" xfId="0" applyNumberFormat="1" applyFont="1" applyFill="1" applyBorder="1" applyAlignment="1" applyProtection="1">
      <alignment/>
      <protection locked="0"/>
    </xf>
    <xf numFmtId="3" fontId="20" fillId="0" borderId="20" xfId="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3" fontId="20" fillId="0" borderId="23" xfId="0" applyNumberFormat="1" applyFont="1" applyFill="1" applyBorder="1" applyAlignment="1">
      <alignment/>
    </xf>
    <xf numFmtId="3" fontId="20" fillId="0" borderId="39" xfId="0" applyNumberFormat="1" applyFont="1" applyFill="1" applyBorder="1" applyAlignment="1">
      <alignment vertical="center"/>
    </xf>
    <xf numFmtId="0" fontId="20" fillId="0" borderId="19" xfId="0" applyFont="1" applyFill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20" fillId="0" borderId="40" xfId="0" applyNumberFormat="1" applyFont="1" applyFill="1" applyBorder="1" applyAlignment="1">
      <alignment/>
    </xf>
    <xf numFmtId="3" fontId="20" fillId="0" borderId="26" xfId="0" applyNumberFormat="1" applyFont="1" applyFill="1" applyBorder="1" applyAlignment="1">
      <alignment/>
    </xf>
    <xf numFmtId="3" fontId="20" fillId="0" borderId="27" xfId="0" applyNumberFormat="1" applyFont="1" applyFill="1" applyBorder="1" applyAlignment="1">
      <alignment/>
    </xf>
    <xf numFmtId="3" fontId="20" fillId="0" borderId="41" xfId="0" applyNumberFormat="1" applyFont="1" applyFill="1" applyBorder="1" applyAlignment="1" applyProtection="1">
      <alignment/>
      <protection locked="0"/>
    </xf>
    <xf numFmtId="3" fontId="20" fillId="0" borderId="28" xfId="0" applyNumberFormat="1" applyFont="1" applyFill="1" applyBorder="1" applyAlignment="1" applyProtection="1">
      <alignment/>
      <protection locked="0"/>
    </xf>
    <xf numFmtId="3" fontId="20" fillId="0" borderId="29" xfId="0" applyNumberFormat="1" applyFont="1" applyFill="1" applyBorder="1" applyAlignment="1" applyProtection="1">
      <alignment/>
      <protection locked="0"/>
    </xf>
    <xf numFmtId="3" fontId="20" fillId="0" borderId="38" xfId="0" applyNumberFormat="1" applyFont="1" applyFill="1" applyBorder="1" applyAlignment="1">
      <alignment/>
    </xf>
    <xf numFmtId="0" fontId="20" fillId="0" borderId="30" xfId="0" applyFont="1" applyFill="1" applyBorder="1" applyAlignment="1">
      <alignment/>
    </xf>
    <xf numFmtId="3" fontId="20" fillId="0" borderId="42" xfId="0" applyNumberFormat="1" applyFont="1" applyFill="1" applyBorder="1" applyAlignment="1">
      <alignment/>
    </xf>
    <xf numFmtId="3" fontId="20" fillId="0" borderId="25" xfId="0" applyNumberFormat="1" applyFont="1" applyFill="1" applyBorder="1" applyAlignment="1">
      <alignment/>
    </xf>
    <xf numFmtId="3" fontId="20" fillId="0" borderId="31" xfId="0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3" fontId="20" fillId="0" borderId="35" xfId="0" applyNumberFormat="1" applyFont="1" applyFill="1" applyBorder="1" applyAlignment="1">
      <alignment/>
    </xf>
    <xf numFmtId="3" fontId="20" fillId="0" borderId="14" xfId="0" applyNumberFormat="1" applyFont="1" applyFill="1" applyBorder="1" applyAlignment="1">
      <alignment/>
    </xf>
    <xf numFmtId="3" fontId="20" fillId="0" borderId="43" xfId="0" applyNumberFormat="1" applyFont="1" applyFill="1" applyBorder="1" applyAlignment="1">
      <alignment/>
    </xf>
    <xf numFmtId="3" fontId="20" fillId="0" borderId="28" xfId="0" applyNumberFormat="1" applyFont="1" applyFill="1" applyBorder="1" applyAlignment="1">
      <alignment/>
    </xf>
    <xf numFmtId="3" fontId="20" fillId="0" borderId="44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3" fontId="20" fillId="0" borderId="37" xfId="0" applyNumberFormat="1" applyFont="1" applyFill="1" applyBorder="1" applyAlignment="1">
      <alignment/>
    </xf>
    <xf numFmtId="3" fontId="20" fillId="0" borderId="20" xfId="0" applyNumberFormat="1" applyFont="1" applyFill="1" applyBorder="1" applyAlignment="1">
      <alignment/>
    </xf>
    <xf numFmtId="3" fontId="20" fillId="0" borderId="45" xfId="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3" fontId="20" fillId="0" borderId="46" xfId="0" applyNumberFormat="1" applyFont="1" applyFill="1" applyBorder="1" applyAlignment="1">
      <alignment/>
    </xf>
    <xf numFmtId="3" fontId="20" fillId="0" borderId="39" xfId="0" applyNumberFormat="1" applyFont="1" applyFill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20" fillId="0" borderId="47" xfId="0" applyNumberFormat="1" applyFont="1" applyFill="1" applyBorder="1" applyAlignment="1">
      <alignment/>
    </xf>
    <xf numFmtId="3" fontId="20" fillId="0" borderId="25" xfId="0" applyNumberFormat="1" applyFont="1" applyFill="1" applyBorder="1" applyAlignment="1">
      <alignment/>
    </xf>
    <xf numFmtId="3" fontId="20" fillId="0" borderId="48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3" fillId="0" borderId="34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3" fontId="23" fillId="0" borderId="36" xfId="0" applyNumberFormat="1" applyFont="1" applyBorder="1" applyAlignment="1" applyProtection="1">
      <alignment/>
      <protection locked="0"/>
    </xf>
    <xf numFmtId="3" fontId="23" fillId="0" borderId="38" xfId="0" applyNumberFormat="1" applyFont="1" applyBorder="1" applyAlignment="1" applyProtection="1">
      <alignment/>
      <protection locked="0"/>
    </xf>
    <xf numFmtId="3" fontId="23" fillId="0" borderId="38" xfId="0" applyNumberFormat="1" applyFont="1" applyBorder="1" applyAlignment="1">
      <alignment/>
    </xf>
    <xf numFmtId="3" fontId="23" fillId="0" borderId="30" xfId="0" applyNumberFormat="1" applyFont="1" applyBorder="1" applyAlignment="1">
      <alignment vertical="center"/>
    </xf>
    <xf numFmtId="3" fontId="23" fillId="0" borderId="40" xfId="0" applyNumberFormat="1" applyFont="1" applyBorder="1" applyAlignment="1">
      <alignment/>
    </xf>
    <xf numFmtId="3" fontId="23" fillId="0" borderId="41" xfId="0" applyNumberFormat="1" applyFont="1" applyBorder="1" applyAlignment="1" applyProtection="1">
      <alignment/>
      <protection locked="0"/>
    </xf>
    <xf numFmtId="3" fontId="23" fillId="0" borderId="42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23" fillId="0" borderId="48" xfId="0" applyNumberFormat="1" applyFont="1" applyBorder="1" applyAlignment="1">
      <alignment/>
    </xf>
    <xf numFmtId="0" fontId="23" fillId="0" borderId="50" xfId="0" applyFont="1" applyBorder="1" applyAlignment="1">
      <alignment vertical="center"/>
    </xf>
    <xf numFmtId="0" fontId="23" fillId="0" borderId="50" xfId="0" applyFont="1" applyBorder="1" applyAlignment="1" applyProtection="1">
      <alignment vertical="center" wrapText="1"/>
      <protection locked="0"/>
    </xf>
    <xf numFmtId="0" fontId="23" fillId="0" borderId="50" xfId="0" applyFont="1" applyBorder="1" applyAlignment="1" applyProtection="1">
      <alignment horizontal="center" vertical="center"/>
      <protection locked="0"/>
    </xf>
    <xf numFmtId="0" fontId="23" fillId="0" borderId="50" xfId="0" applyFont="1" applyBorder="1" applyAlignment="1" applyProtection="1">
      <alignment horizontal="center" vertical="center" wrapText="1"/>
      <protection locked="0"/>
    </xf>
    <xf numFmtId="0" fontId="23" fillId="0" borderId="50" xfId="0" applyFont="1" applyBorder="1" applyAlignment="1" applyProtection="1">
      <alignment horizontal="center"/>
      <protection locked="0"/>
    </xf>
    <xf numFmtId="3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 applyProtection="1">
      <alignment/>
      <protection locked="0"/>
    </xf>
    <xf numFmtId="3" fontId="23" fillId="0" borderId="50" xfId="0" applyNumberFormat="1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3" fontId="23" fillId="0" borderId="0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Border="1" applyAlignment="1">
      <alignment/>
    </xf>
    <xf numFmtId="0" fontId="23" fillId="0" borderId="43" xfId="0" applyFont="1" applyBorder="1" applyAlignment="1">
      <alignment/>
    </xf>
    <xf numFmtId="3" fontId="23" fillId="0" borderId="44" xfId="0" applyNumberFormat="1" applyFont="1" applyBorder="1" applyAlignment="1" applyProtection="1">
      <alignment/>
      <protection locked="0"/>
    </xf>
    <xf numFmtId="0" fontId="23" fillId="0" borderId="45" xfId="0" applyFont="1" applyBorder="1" applyAlignment="1">
      <alignment/>
    </xf>
    <xf numFmtId="3" fontId="23" fillId="0" borderId="46" xfId="0" applyNumberFormat="1" applyFont="1" applyBorder="1" applyAlignment="1" applyProtection="1">
      <alignment/>
      <protection locked="0"/>
    </xf>
    <xf numFmtId="0" fontId="23" fillId="0" borderId="47" xfId="0" applyFont="1" applyBorder="1" applyAlignment="1">
      <alignment/>
    </xf>
    <xf numFmtId="3" fontId="23" fillId="0" borderId="25" xfId="0" applyNumberFormat="1" applyFont="1" applyBorder="1" applyAlignment="1" applyProtection="1">
      <alignment/>
      <protection locked="0"/>
    </xf>
    <xf numFmtId="3" fontId="23" fillId="0" borderId="48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3" fontId="23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0" fillId="0" borderId="0" xfId="0" applyFont="1" applyFill="1" applyAlignment="1">
      <alignment horizontal="right"/>
    </xf>
    <xf numFmtId="0" fontId="26" fillId="0" borderId="0" xfId="0" applyFont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51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52" xfId="0" applyFont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29" fillId="0" borderId="53" xfId="0" applyFont="1" applyBorder="1" applyAlignment="1">
      <alignment horizontal="center" vertical="top" wrapText="1"/>
    </xf>
    <xf numFmtId="3" fontId="29" fillId="0" borderId="54" xfId="0" applyNumberFormat="1" applyFont="1" applyFill="1" applyBorder="1" applyAlignment="1">
      <alignment horizontal="right" wrapText="1"/>
    </xf>
    <xf numFmtId="3" fontId="29" fillId="0" borderId="55" xfId="0" applyNumberFormat="1" applyFont="1" applyFill="1" applyBorder="1" applyAlignment="1">
      <alignment horizontal="right" wrapText="1"/>
    </xf>
    <xf numFmtId="3" fontId="29" fillId="0" borderId="56" xfId="0" applyNumberFormat="1" applyFont="1" applyFill="1" applyBorder="1" applyAlignment="1">
      <alignment horizontal="right" wrapText="1"/>
    </xf>
    <xf numFmtId="3" fontId="29" fillId="0" borderId="55" xfId="0" applyNumberFormat="1" applyFont="1" applyFill="1" applyBorder="1" applyAlignment="1">
      <alignment horizontal="right" vertical="top" wrapText="1"/>
    </xf>
    <xf numFmtId="0" fontId="29" fillId="0" borderId="22" xfId="0" applyFont="1" applyBorder="1" applyAlignment="1">
      <alignment horizontal="center" vertical="top" wrapText="1"/>
    </xf>
    <xf numFmtId="0" fontId="29" fillId="0" borderId="57" xfId="0" applyFont="1" applyBorder="1" applyAlignment="1">
      <alignment horizontal="center" vertical="top" wrapText="1"/>
    </xf>
    <xf numFmtId="3" fontId="29" fillId="0" borderId="58" xfId="0" applyNumberFormat="1" applyFont="1" applyFill="1" applyBorder="1" applyAlignment="1">
      <alignment horizontal="right" wrapText="1"/>
    </xf>
    <xf numFmtId="3" fontId="29" fillId="0" borderId="59" xfId="0" applyNumberFormat="1" applyFont="1" applyFill="1" applyBorder="1" applyAlignment="1">
      <alignment horizontal="right" wrapText="1"/>
    </xf>
    <xf numFmtId="3" fontId="29" fillId="0" borderId="60" xfId="0" applyNumberFormat="1" applyFont="1" applyFill="1" applyBorder="1" applyAlignment="1">
      <alignment horizontal="right" wrapText="1"/>
    </xf>
    <xf numFmtId="3" fontId="28" fillId="0" borderId="0" xfId="0" applyNumberFormat="1" applyFont="1" applyFill="1" applyAlignment="1">
      <alignment/>
    </xf>
    <xf numFmtId="0" fontId="29" fillId="0" borderId="22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horizontal="center" vertical="top" wrapText="1"/>
    </xf>
    <xf numFmtId="0" fontId="29" fillId="0" borderId="22" xfId="0" applyFont="1" applyFill="1" applyBorder="1" applyAlignment="1">
      <alignment vertical="top" wrapText="1"/>
    </xf>
    <xf numFmtId="0" fontId="30" fillId="0" borderId="0" xfId="0" applyFont="1" applyFill="1" applyAlignment="1">
      <alignment/>
    </xf>
    <xf numFmtId="3" fontId="29" fillId="0" borderId="54" xfId="0" applyNumberFormat="1" applyFont="1" applyFill="1" applyBorder="1" applyAlignment="1">
      <alignment horizontal="right" vertical="top" wrapText="1"/>
    </xf>
    <xf numFmtId="3" fontId="29" fillId="0" borderId="56" xfId="0" applyNumberFormat="1" applyFont="1" applyFill="1" applyBorder="1" applyAlignment="1">
      <alignment horizontal="right" vertical="top" wrapText="1"/>
    </xf>
    <xf numFmtId="3" fontId="30" fillId="0" borderId="0" xfId="0" applyNumberFormat="1" applyFont="1" applyFill="1" applyAlignment="1">
      <alignment horizontal="right"/>
    </xf>
    <xf numFmtId="3" fontId="30" fillId="0" borderId="0" xfId="0" applyNumberFormat="1" applyFont="1" applyAlignment="1">
      <alignment horizontal="right"/>
    </xf>
    <xf numFmtId="0" fontId="27" fillId="0" borderId="22" xfId="0" applyFont="1" applyBorder="1" applyAlignment="1">
      <alignment horizontal="center" vertical="top" wrapText="1"/>
    </xf>
    <xf numFmtId="3" fontId="29" fillId="0" borderId="61" xfId="0" applyNumberFormat="1" applyFont="1" applyFill="1" applyBorder="1" applyAlignment="1">
      <alignment horizontal="right" vertical="top" wrapText="1"/>
    </xf>
    <xf numFmtId="3" fontId="29" fillId="0" borderId="62" xfId="0" applyNumberFormat="1" applyFont="1" applyFill="1" applyBorder="1" applyAlignment="1">
      <alignment horizontal="right" wrapText="1"/>
    </xf>
    <xf numFmtId="0" fontId="33" fillId="0" borderId="63" xfId="0" applyFont="1" applyBorder="1" applyAlignment="1">
      <alignment/>
    </xf>
    <xf numFmtId="3" fontId="33" fillId="0" borderId="64" xfId="0" applyNumberFormat="1" applyFont="1" applyFill="1" applyBorder="1" applyAlignment="1">
      <alignment horizontal="justify" vertical="top" wrapText="1"/>
    </xf>
    <xf numFmtId="3" fontId="33" fillId="0" borderId="65" xfId="0" applyNumberFormat="1" applyFont="1" applyFill="1" applyBorder="1" applyAlignment="1">
      <alignment horizontal="justify" vertical="top" wrapText="1"/>
    </xf>
    <xf numFmtId="3" fontId="33" fillId="0" borderId="66" xfId="0" applyNumberFormat="1" applyFont="1" applyFill="1" applyBorder="1" applyAlignment="1">
      <alignment horizontal="justify" vertical="top" wrapText="1"/>
    </xf>
    <xf numFmtId="0" fontId="33" fillId="0" borderId="17" xfId="0" applyFont="1" applyBorder="1" applyAlignment="1">
      <alignment/>
    </xf>
    <xf numFmtId="3" fontId="33" fillId="0" borderId="67" xfId="0" applyNumberFormat="1" applyFont="1" applyFill="1" applyBorder="1" applyAlignment="1">
      <alignment horizontal="justify" vertical="top" wrapText="1"/>
    </xf>
    <xf numFmtId="3" fontId="33" fillId="0" borderId="68" xfId="0" applyNumberFormat="1" applyFont="1" applyFill="1" applyBorder="1" applyAlignment="1">
      <alignment horizontal="justify" vertical="top" wrapText="1"/>
    </xf>
    <xf numFmtId="3" fontId="33" fillId="0" borderId="69" xfId="0" applyNumberFormat="1" applyFont="1" applyFill="1" applyBorder="1" applyAlignment="1">
      <alignment horizontal="justify" vertical="top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 horizontal="justify" vertical="top" wrapText="1"/>
    </xf>
    <xf numFmtId="0" fontId="33" fillId="0" borderId="0" xfId="0" applyFont="1" applyAlignment="1">
      <alignment horizontal="left" vertical="top" wrapText="1"/>
    </xf>
    <xf numFmtId="0" fontId="33" fillId="0" borderId="0" xfId="0" applyFont="1" applyFill="1" applyAlignment="1">
      <alignment horizontal="left" vertical="top" wrapText="1"/>
    </xf>
    <xf numFmtId="0" fontId="30" fillId="0" borderId="0" xfId="0" applyFont="1" applyAlignment="1">
      <alignment/>
    </xf>
    <xf numFmtId="0" fontId="31" fillId="0" borderId="0" xfId="44" applyFont="1" applyAlignment="1">
      <alignment wrapText="1"/>
    </xf>
    <xf numFmtId="0" fontId="0" fillId="0" borderId="0" xfId="0" applyFill="1" applyAlignment="1">
      <alignment wrapText="1"/>
    </xf>
    <xf numFmtId="0" fontId="32" fillId="0" borderId="0" xfId="44" applyFont="1" applyAlignment="1">
      <alignment wrapText="1"/>
    </xf>
    <xf numFmtId="0" fontId="32" fillId="0" borderId="0" xfId="44" applyFont="1" applyFill="1" applyAlignment="1">
      <alignment wrapText="1"/>
    </xf>
    <xf numFmtId="0" fontId="28" fillId="0" borderId="22" xfId="0" applyFont="1" applyFill="1" applyBorder="1" applyAlignment="1">
      <alignment horizontal="center" vertical="top" wrapText="1"/>
    </xf>
    <xf numFmtId="3" fontId="27" fillId="0" borderId="22" xfId="0" applyNumberFormat="1" applyFont="1" applyFill="1" applyBorder="1" applyAlignment="1">
      <alignment horizontal="right" wrapText="1"/>
    </xf>
    <xf numFmtId="3" fontId="28" fillId="0" borderId="22" xfId="0" applyNumberFormat="1" applyFont="1" applyFill="1" applyBorder="1" applyAlignment="1">
      <alignment horizontal="right" vertical="top" wrapText="1"/>
    </xf>
    <xf numFmtId="3" fontId="30" fillId="0" borderId="22" xfId="0" applyNumberFormat="1" applyFont="1" applyFill="1" applyBorder="1" applyAlignment="1">
      <alignment horizontal="right" vertical="top" wrapText="1"/>
    </xf>
    <xf numFmtId="3" fontId="29" fillId="0" borderId="22" xfId="0" applyNumberFormat="1" applyFont="1" applyFill="1" applyBorder="1" applyAlignment="1">
      <alignment horizontal="right" wrapText="1"/>
    </xf>
    <xf numFmtId="3" fontId="29" fillId="0" borderId="22" xfId="0" applyNumberFormat="1" applyFont="1" applyFill="1" applyBorder="1" applyAlignment="1">
      <alignment horizontal="right" vertical="top" wrapText="1"/>
    </xf>
    <xf numFmtId="3" fontId="28" fillId="0" borderId="22" xfId="0" applyNumberFormat="1" applyFont="1" applyFill="1" applyBorder="1" applyAlignment="1">
      <alignment horizontal="right" wrapText="1"/>
    </xf>
    <xf numFmtId="3" fontId="30" fillId="0" borderId="22" xfId="0" applyNumberFormat="1" applyFont="1" applyFill="1" applyBorder="1" applyAlignment="1">
      <alignment horizontal="right" wrapText="1"/>
    </xf>
    <xf numFmtId="3" fontId="27" fillId="0" borderId="22" xfId="0" applyNumberFormat="1" applyFont="1" applyFill="1" applyBorder="1" applyAlignment="1">
      <alignment horizontal="right" vertical="justify" wrapText="1"/>
    </xf>
    <xf numFmtId="3" fontId="27" fillId="0" borderId="22" xfId="0" applyNumberFormat="1" applyFont="1" applyFill="1" applyBorder="1" applyAlignment="1">
      <alignment horizontal="right" vertical="top" wrapText="1"/>
    </xf>
    <xf numFmtId="3" fontId="29" fillId="0" borderId="22" xfId="0" applyNumberFormat="1" applyFont="1" applyFill="1" applyBorder="1" applyAlignment="1">
      <alignment vertical="top" wrapText="1"/>
    </xf>
    <xf numFmtId="4" fontId="29" fillId="0" borderId="22" xfId="0" applyNumberFormat="1" applyFont="1" applyFill="1" applyBorder="1" applyAlignment="1">
      <alignment horizontal="justify" vertical="top" wrapText="1"/>
    </xf>
    <xf numFmtId="4" fontId="29" fillId="0" borderId="22" xfId="0" applyNumberFormat="1" applyFont="1" applyFill="1" applyBorder="1" applyAlignment="1">
      <alignment horizontal="center" vertical="top" wrapText="1"/>
    </xf>
    <xf numFmtId="4" fontId="30" fillId="0" borderId="22" xfId="0" applyNumberFormat="1" applyFont="1" applyFill="1" applyBorder="1" applyAlignment="1">
      <alignment horizontal="right" wrapText="1"/>
    </xf>
    <xf numFmtId="4" fontId="28" fillId="0" borderId="22" xfId="0" applyNumberFormat="1" applyFont="1" applyFill="1" applyBorder="1" applyAlignment="1">
      <alignment horizontal="right" wrapText="1"/>
    </xf>
    <xf numFmtId="0" fontId="27" fillId="24" borderId="22" xfId="0" applyFont="1" applyFill="1" applyBorder="1" applyAlignment="1">
      <alignment horizontal="center" vertical="top" wrapText="1"/>
    </xf>
    <xf numFmtId="0" fontId="30" fillId="0" borderId="22" xfId="0" applyFont="1" applyFill="1" applyBorder="1" applyAlignment="1">
      <alignment vertical="top" wrapText="1"/>
    </xf>
    <xf numFmtId="3" fontId="29" fillId="0" borderId="22" xfId="0" applyNumberFormat="1" applyFont="1" applyBorder="1" applyAlignment="1">
      <alignment horizontal="right" vertical="top" wrapText="1"/>
    </xf>
    <xf numFmtId="0" fontId="34" fillId="0" borderId="0" xfId="53" applyFont="1" applyFill="1" applyAlignment="1">
      <alignment horizontal="center"/>
      <protection/>
    </xf>
    <xf numFmtId="205" fontId="34" fillId="0" borderId="0" xfId="53" applyNumberFormat="1" applyFont="1" applyFill="1" applyBorder="1" applyAlignment="1">
      <alignment vertical="center" wrapText="1"/>
      <protection/>
    </xf>
    <xf numFmtId="0" fontId="34" fillId="0" borderId="0" xfId="53" applyFont="1" applyFill="1">
      <alignment/>
      <protection/>
    </xf>
    <xf numFmtId="0" fontId="34" fillId="0" borderId="0" xfId="53" applyFont="1" applyFill="1" applyAlignment="1">
      <alignment vertical="center"/>
      <protection/>
    </xf>
    <xf numFmtId="205" fontId="34" fillId="0" borderId="0" xfId="53" applyNumberFormat="1" applyFont="1" applyFill="1" applyAlignment="1">
      <alignment vertical="center"/>
      <protection/>
    </xf>
    <xf numFmtId="0" fontId="34" fillId="22" borderId="0" xfId="53" applyFont="1" applyFill="1">
      <alignment/>
      <protection/>
    </xf>
    <xf numFmtId="0" fontId="20" fillId="0" borderId="0" xfId="54" applyBorder="1" applyAlignment="1">
      <alignment horizontal="right" vertical="center"/>
      <protection/>
    </xf>
    <xf numFmtId="0" fontId="34" fillId="0" borderId="0" xfId="53" applyFont="1" applyFill="1" applyAlignment="1">
      <alignment horizontal="right"/>
      <protection/>
    </xf>
    <xf numFmtId="0" fontId="36" fillId="0" borderId="0" xfId="53" applyFont="1" applyAlignment="1">
      <alignment horizontal="center" vertical="center" wrapText="1"/>
      <protection/>
    </xf>
    <xf numFmtId="0" fontId="36" fillId="0" borderId="0" xfId="53" applyFont="1" applyFill="1">
      <alignment/>
      <protection/>
    </xf>
    <xf numFmtId="0" fontId="36" fillId="0" borderId="0" xfId="53" applyFont="1" applyAlignment="1">
      <alignment horizontal="center" vertical="center"/>
      <protection/>
    </xf>
    <xf numFmtId="0" fontId="36" fillId="0" borderId="0" xfId="53" applyFont="1" applyFill="1" applyAlignment="1">
      <alignment horizontal="center" vertical="center"/>
      <protection/>
    </xf>
    <xf numFmtId="0" fontId="37" fillId="22" borderId="0" xfId="53" applyFont="1" applyFill="1" applyAlignment="1">
      <alignment horizontal="center" vertical="center"/>
      <protection/>
    </xf>
    <xf numFmtId="0" fontId="36" fillId="0" borderId="0" xfId="53" applyFont="1">
      <alignment/>
      <protection/>
    </xf>
    <xf numFmtId="3" fontId="36" fillId="0" borderId="0" xfId="53" applyNumberFormat="1" applyFont="1" applyFill="1">
      <alignment/>
      <protection/>
    </xf>
    <xf numFmtId="205" fontId="34" fillId="0" borderId="70" xfId="53" applyNumberFormat="1" applyFont="1" applyBorder="1" applyAlignment="1">
      <alignment horizontal="center" vertical="center" wrapText="1"/>
      <protection/>
    </xf>
    <xf numFmtId="1" fontId="34" fillId="22" borderId="17" xfId="53" applyNumberFormat="1" applyFont="1" applyFill="1" applyBorder="1" applyAlignment="1">
      <alignment horizontal="centerContinuous" vertical="center"/>
      <protection/>
    </xf>
    <xf numFmtId="0" fontId="34" fillId="0" borderId="63" xfId="53" applyFont="1" applyFill="1" applyBorder="1" applyAlignment="1">
      <alignment horizontal="center" vertical="center"/>
      <protection/>
    </xf>
    <xf numFmtId="0" fontId="34" fillId="0" borderId="0" xfId="53" applyFont="1" applyBorder="1" applyAlignment="1">
      <alignment vertical="center"/>
      <protection/>
    </xf>
    <xf numFmtId="0" fontId="34" fillId="0" borderId="18" xfId="53" applyFont="1" applyBorder="1" applyAlignment="1">
      <alignment horizontal="center" vertical="center"/>
      <protection/>
    </xf>
    <xf numFmtId="0" fontId="34" fillId="0" borderId="28" xfId="53" applyFont="1" applyFill="1" applyBorder="1" applyAlignment="1">
      <alignment horizontal="center" vertical="center"/>
      <protection/>
    </xf>
    <xf numFmtId="0" fontId="34" fillId="0" borderId="29" xfId="53" applyFont="1" applyFill="1" applyBorder="1" applyAlignment="1">
      <alignment horizontal="center" vertical="center"/>
      <protection/>
    </xf>
    <xf numFmtId="0" fontId="34" fillId="0" borderId="71" xfId="53" applyFont="1" applyFill="1" applyBorder="1" applyAlignment="1">
      <alignment horizontal="center" vertical="center"/>
      <protection/>
    </xf>
    <xf numFmtId="0" fontId="34" fillId="0" borderId="72" xfId="53" applyFont="1" applyBorder="1" applyAlignment="1">
      <alignment horizontal="center" vertical="center"/>
      <protection/>
    </xf>
    <xf numFmtId="0" fontId="34" fillId="0" borderId="25" xfId="53" applyFont="1" applyBorder="1" applyAlignment="1">
      <alignment horizontal="centerContinuous" vertical="center"/>
      <protection/>
    </xf>
    <xf numFmtId="205" fontId="34" fillId="0" borderId="25" xfId="53" applyNumberFormat="1" applyFont="1" applyBorder="1" applyAlignment="1">
      <alignment horizontal="centerContinuous" vertical="center"/>
      <protection/>
    </xf>
    <xf numFmtId="205" fontId="34" fillId="0" borderId="25" xfId="53" applyNumberFormat="1" applyFont="1" applyFill="1" applyBorder="1" applyAlignment="1">
      <alignment horizontal="centerContinuous" vertical="center"/>
      <protection/>
    </xf>
    <xf numFmtId="205" fontId="34" fillId="22" borderId="25" xfId="53" applyNumberFormat="1" applyFont="1" applyFill="1" applyBorder="1" applyAlignment="1">
      <alignment horizontal="center" vertical="center"/>
      <protection/>
    </xf>
    <xf numFmtId="0" fontId="34" fillId="0" borderId="25" xfId="53" applyFont="1" applyFill="1" applyBorder="1" applyAlignment="1">
      <alignment horizontal="center" vertical="center"/>
      <protection/>
    </xf>
    <xf numFmtId="0" fontId="34" fillId="0" borderId="73" xfId="53" applyFont="1" applyBorder="1" applyAlignment="1">
      <alignment vertical="center"/>
      <protection/>
    </xf>
    <xf numFmtId="3" fontId="34" fillId="0" borderId="31" xfId="53" applyNumberFormat="1" applyFont="1" applyFill="1" applyBorder="1" applyAlignment="1">
      <alignment horizontal="center" vertical="center"/>
      <protection/>
    </xf>
    <xf numFmtId="0" fontId="34" fillId="0" borderId="31" xfId="53" applyFont="1" applyFill="1" applyBorder="1" applyAlignment="1">
      <alignment horizontal="center" vertical="center"/>
      <protection/>
    </xf>
    <xf numFmtId="0" fontId="34" fillId="0" borderId="74" xfId="53" applyFont="1" applyFill="1" applyBorder="1" applyAlignment="1">
      <alignment horizontal="center" vertical="center"/>
      <protection/>
    </xf>
    <xf numFmtId="0" fontId="34" fillId="22" borderId="73" xfId="53" applyFont="1" applyFill="1" applyBorder="1" applyAlignment="1">
      <alignment horizontal="centerContinuous" vertical="center"/>
      <protection/>
    </xf>
    <xf numFmtId="205" fontId="34" fillId="22" borderId="73" xfId="53" applyNumberFormat="1" applyFont="1" applyFill="1" applyBorder="1" applyAlignment="1">
      <alignment horizontal="centerContinuous" vertical="center"/>
      <protection/>
    </xf>
    <xf numFmtId="205" fontId="34" fillId="22" borderId="75" xfId="53" applyNumberFormat="1" applyFont="1" applyFill="1" applyBorder="1" applyAlignment="1">
      <alignment horizontal="centerContinuous" vertical="center"/>
      <protection/>
    </xf>
    <xf numFmtId="205" fontId="34" fillId="22" borderId="76" xfId="53" applyNumberFormat="1" applyFont="1" applyFill="1" applyBorder="1" applyAlignment="1">
      <alignment horizontal="center" vertical="center"/>
      <protection/>
    </xf>
    <xf numFmtId="205" fontId="39" fillId="22" borderId="76" xfId="53" applyNumberFormat="1" applyFont="1" applyFill="1" applyBorder="1" applyAlignment="1">
      <alignment horizontal="center" vertical="center"/>
      <protection/>
    </xf>
    <xf numFmtId="0" fontId="34" fillId="22" borderId="0" xfId="53" applyFont="1" applyFill="1" applyBorder="1" applyAlignment="1">
      <alignment vertical="center"/>
      <protection/>
    </xf>
    <xf numFmtId="3" fontId="36" fillId="22" borderId="77" xfId="53" applyNumberFormat="1" applyFont="1" applyFill="1" applyBorder="1" applyAlignment="1">
      <alignment horizontal="center" vertical="center"/>
      <protection/>
    </xf>
    <xf numFmtId="3" fontId="36" fillId="22" borderId="76" xfId="53" applyNumberFormat="1" applyFont="1" applyFill="1" applyBorder="1" applyAlignment="1">
      <alignment horizontal="center" vertical="center"/>
      <protection/>
    </xf>
    <xf numFmtId="3" fontId="36" fillId="22" borderId="74" xfId="53" applyNumberFormat="1" applyFont="1" applyFill="1" applyBorder="1" applyAlignment="1">
      <alignment horizontal="center" vertical="center"/>
      <protection/>
    </xf>
    <xf numFmtId="205" fontId="34" fillId="25" borderId="49" xfId="53" applyNumberFormat="1" applyFont="1" applyFill="1" applyBorder="1" applyAlignment="1">
      <alignment vertical="center"/>
      <protection/>
    </xf>
    <xf numFmtId="205" fontId="34" fillId="25" borderId="78" xfId="53" applyNumberFormat="1" applyFont="1" applyFill="1" applyBorder="1" applyAlignment="1">
      <alignment vertical="center"/>
      <protection/>
    </xf>
    <xf numFmtId="205" fontId="39" fillId="25" borderId="12" xfId="53" applyNumberFormat="1" applyFont="1" applyFill="1" applyBorder="1" applyAlignment="1">
      <alignment vertical="center"/>
      <protection/>
    </xf>
    <xf numFmtId="205" fontId="39" fillId="25" borderId="34" xfId="53" applyNumberFormat="1" applyFont="1" applyFill="1" applyBorder="1" applyAlignment="1">
      <alignment vertical="center"/>
      <protection/>
    </xf>
    <xf numFmtId="3" fontId="39" fillId="25" borderId="12" xfId="53" applyNumberFormat="1" applyFont="1" applyFill="1" applyBorder="1" applyAlignment="1">
      <alignment vertical="center"/>
      <protection/>
    </xf>
    <xf numFmtId="3" fontId="39" fillId="25" borderId="34" xfId="53" applyNumberFormat="1" applyFont="1" applyFill="1" applyBorder="1" applyAlignment="1">
      <alignment vertical="center"/>
      <protection/>
    </xf>
    <xf numFmtId="3" fontId="39" fillId="25" borderId="79" xfId="53" applyNumberFormat="1" applyFont="1" applyFill="1" applyBorder="1" applyAlignment="1">
      <alignment vertical="center"/>
      <protection/>
    </xf>
    <xf numFmtId="0" fontId="40" fillId="3" borderId="80" xfId="53" applyFont="1" applyFill="1" applyBorder="1" applyAlignment="1">
      <alignment horizontal="center" vertical="center"/>
      <protection/>
    </xf>
    <xf numFmtId="0" fontId="40" fillId="3" borderId="49" xfId="53" applyFont="1" applyFill="1" applyBorder="1" applyAlignment="1">
      <alignment horizontal="left" vertical="center"/>
      <protection/>
    </xf>
    <xf numFmtId="0" fontId="40" fillId="3" borderId="49" xfId="53" applyFont="1" applyFill="1" applyBorder="1" applyAlignment="1">
      <alignment vertical="center"/>
      <protection/>
    </xf>
    <xf numFmtId="0" fontId="34" fillId="3" borderId="12" xfId="53" applyFont="1" applyFill="1" applyBorder="1" applyAlignment="1">
      <alignment vertical="center"/>
      <protection/>
    </xf>
    <xf numFmtId="205" fontId="34" fillId="3" borderId="12" xfId="53" applyNumberFormat="1" applyFont="1" applyFill="1" applyBorder="1" applyAlignment="1">
      <alignment vertical="center"/>
      <protection/>
    </xf>
    <xf numFmtId="205" fontId="40" fillId="3" borderId="12" xfId="53" applyNumberFormat="1" applyFont="1" applyFill="1" applyBorder="1" applyAlignment="1">
      <alignment vertical="center"/>
      <protection/>
    </xf>
    <xf numFmtId="205" fontId="39" fillId="22" borderId="12" xfId="53" applyNumberFormat="1" applyFont="1" applyFill="1" applyBorder="1" applyAlignment="1">
      <alignment vertical="center"/>
      <protection/>
    </xf>
    <xf numFmtId="205" fontId="39" fillId="3" borderId="12" xfId="53" applyNumberFormat="1" applyFont="1" applyFill="1" applyBorder="1" applyAlignment="1">
      <alignment vertical="center"/>
      <protection/>
    </xf>
    <xf numFmtId="205" fontId="39" fillId="3" borderId="34" xfId="53" applyNumberFormat="1" applyFont="1" applyFill="1" applyBorder="1" applyAlignment="1">
      <alignment vertical="center"/>
      <protection/>
    </xf>
    <xf numFmtId="3" fontId="39" fillId="3" borderId="12" xfId="53" applyNumberFormat="1" applyFont="1" applyFill="1" applyBorder="1" applyAlignment="1">
      <alignment vertical="center"/>
      <protection/>
    </xf>
    <xf numFmtId="3" fontId="39" fillId="3" borderId="34" xfId="53" applyNumberFormat="1" applyFont="1" applyFill="1" applyBorder="1" applyAlignment="1">
      <alignment vertical="center"/>
      <protection/>
    </xf>
    <xf numFmtId="3" fontId="39" fillId="3" borderId="79" xfId="53" applyNumberFormat="1" applyFont="1" applyFill="1" applyBorder="1" applyAlignment="1">
      <alignment vertical="center"/>
      <protection/>
    </xf>
    <xf numFmtId="0" fontId="40" fillId="0" borderId="81" xfId="53" applyFont="1" applyBorder="1" applyAlignment="1">
      <alignment horizontal="center" vertical="center"/>
      <protection/>
    </xf>
    <xf numFmtId="0" fontId="40" fillId="0" borderId="34" xfId="53" applyFont="1" applyFill="1" applyBorder="1" applyAlignment="1">
      <alignment horizontal="left" vertical="center"/>
      <protection/>
    </xf>
    <xf numFmtId="0" fontId="40" fillId="0" borderId="49" xfId="53" applyFont="1" applyFill="1" applyBorder="1" applyAlignment="1">
      <alignment vertical="center"/>
      <protection/>
    </xf>
    <xf numFmtId="0" fontId="34" fillId="0" borderId="12" xfId="53" applyFont="1" applyFill="1" applyBorder="1" applyAlignment="1">
      <alignment vertical="center"/>
      <protection/>
    </xf>
    <xf numFmtId="205" fontId="34" fillId="0" borderId="12" xfId="53" applyNumberFormat="1" applyFont="1" applyFill="1" applyBorder="1" applyAlignment="1">
      <alignment vertical="center"/>
      <protection/>
    </xf>
    <xf numFmtId="205" fontId="40" fillId="0" borderId="12" xfId="53" applyNumberFormat="1" applyFont="1" applyFill="1" applyBorder="1" applyAlignment="1">
      <alignment vertical="center"/>
      <protection/>
    </xf>
    <xf numFmtId="205" fontId="40" fillId="22" borderId="12" xfId="53" applyNumberFormat="1" applyFont="1" applyFill="1" applyBorder="1" applyAlignment="1">
      <alignment vertical="center"/>
      <protection/>
    </xf>
    <xf numFmtId="3" fontId="34" fillId="0" borderId="0" xfId="53" applyNumberFormat="1" applyFont="1" applyBorder="1" applyAlignment="1">
      <alignment vertical="center"/>
      <protection/>
    </xf>
    <xf numFmtId="3" fontId="40" fillId="0" borderId="34" xfId="53" applyNumberFormat="1" applyFont="1" applyFill="1" applyBorder="1" applyAlignment="1">
      <alignment vertical="center"/>
      <protection/>
    </xf>
    <xf numFmtId="3" fontId="40" fillId="0" borderId="76" xfId="53" applyNumberFormat="1" applyFont="1" applyFill="1" applyBorder="1" applyAlignment="1">
      <alignment vertical="center"/>
      <protection/>
    </xf>
    <xf numFmtId="3" fontId="40" fillId="0" borderId="77" xfId="53" applyNumberFormat="1" applyFont="1" applyFill="1" applyBorder="1" applyAlignment="1">
      <alignment vertical="center"/>
      <protection/>
    </xf>
    <xf numFmtId="3" fontId="40" fillId="0" borderId="74" xfId="53" applyNumberFormat="1" applyFont="1" applyFill="1" applyBorder="1" applyAlignment="1">
      <alignment vertical="center"/>
      <protection/>
    </xf>
    <xf numFmtId="0" fontId="34" fillId="0" borderId="26" xfId="53" applyFont="1" applyFill="1" applyBorder="1" applyAlignment="1">
      <alignment vertical="center" wrapText="1"/>
      <protection/>
    </xf>
    <xf numFmtId="0" fontId="41" fillId="0" borderId="82" xfId="53" applyFont="1" applyFill="1" applyBorder="1" applyAlignment="1">
      <alignment vertical="center" wrapText="1"/>
      <protection/>
    </xf>
    <xf numFmtId="205" fontId="34" fillId="0" borderId="26" xfId="53" applyNumberFormat="1" applyFont="1" applyFill="1" applyBorder="1" applyAlignment="1">
      <alignment vertical="center"/>
      <protection/>
    </xf>
    <xf numFmtId="205" fontId="34" fillId="22" borderId="26" xfId="53" applyNumberFormat="1" applyFont="1" applyFill="1" applyBorder="1" applyAlignment="1">
      <alignment vertical="center"/>
      <protection/>
    </xf>
    <xf numFmtId="3" fontId="34" fillId="0" borderId="26" xfId="53" applyNumberFormat="1" applyFont="1" applyFill="1" applyBorder="1" applyAlignment="1">
      <alignment vertical="center"/>
      <protection/>
    </xf>
    <xf numFmtId="0" fontId="34" fillId="0" borderId="0" xfId="53" applyFont="1" applyFill="1" applyBorder="1" applyAlignment="1">
      <alignment vertical="center"/>
      <protection/>
    </xf>
    <xf numFmtId="3" fontId="34" fillId="0" borderId="27" xfId="53" applyNumberFormat="1" applyFont="1" applyFill="1" applyBorder="1" applyAlignment="1">
      <alignment vertical="center"/>
      <protection/>
    </xf>
    <xf numFmtId="0" fontId="34" fillId="0" borderId="0" xfId="53" applyFont="1" applyFill="1" applyAlignment="1">
      <alignment vertical="center"/>
      <protection/>
    </xf>
    <xf numFmtId="0" fontId="40" fillId="0" borderId="83" xfId="53" applyFont="1" applyBorder="1" applyAlignment="1">
      <alignment horizontal="center" vertical="center"/>
      <protection/>
    </xf>
    <xf numFmtId="0" fontId="34" fillId="0" borderId="17" xfId="53" applyFont="1" applyFill="1" applyBorder="1" applyAlignment="1">
      <alignment vertical="center" wrapText="1"/>
      <protection/>
    </xf>
    <xf numFmtId="0" fontId="41" fillId="0" borderId="76" xfId="53" applyFont="1" applyFill="1" applyBorder="1" applyAlignment="1">
      <alignment vertical="center" wrapText="1"/>
      <protection/>
    </xf>
    <xf numFmtId="205" fontId="34" fillId="0" borderId="17" xfId="53" applyNumberFormat="1" applyFont="1" applyFill="1" applyBorder="1" applyAlignment="1">
      <alignment vertical="center"/>
      <protection/>
    </xf>
    <xf numFmtId="205" fontId="34" fillId="22" borderId="17" xfId="53" applyNumberFormat="1" applyFont="1" applyFill="1" applyBorder="1" applyAlignment="1">
      <alignment vertical="center"/>
      <protection/>
    </xf>
    <xf numFmtId="3" fontId="34" fillId="0" borderId="17" xfId="53" applyNumberFormat="1" applyFont="1" applyFill="1" applyBorder="1" applyAlignment="1">
      <alignment vertical="center"/>
      <protection/>
    </xf>
    <xf numFmtId="3" fontId="34" fillId="0" borderId="18" xfId="53" applyNumberFormat="1" applyFont="1" applyFill="1" applyBorder="1" applyAlignment="1">
      <alignment vertical="center"/>
      <protection/>
    </xf>
    <xf numFmtId="3" fontId="34" fillId="3" borderId="0" xfId="53" applyNumberFormat="1" applyFont="1" applyFill="1" applyBorder="1" applyAlignment="1">
      <alignment vertical="center"/>
      <protection/>
    </xf>
    <xf numFmtId="0" fontId="34" fillId="3" borderId="0" xfId="53" applyFont="1" applyFill="1" applyBorder="1" applyAlignment="1">
      <alignment vertical="center"/>
      <protection/>
    </xf>
    <xf numFmtId="3" fontId="40" fillId="0" borderId="12" xfId="53" applyNumberFormat="1" applyFont="1" applyFill="1" applyBorder="1" applyAlignment="1">
      <alignment vertical="center"/>
      <protection/>
    </xf>
    <xf numFmtId="3" fontId="40" fillId="0" borderId="79" xfId="53" applyNumberFormat="1" applyFont="1" applyFill="1" applyBorder="1" applyAlignment="1">
      <alignment vertical="center"/>
      <protection/>
    </xf>
    <xf numFmtId="0" fontId="40" fillId="0" borderId="84" xfId="53" applyFont="1" applyBorder="1" applyAlignment="1">
      <alignment horizontal="center" vertical="center"/>
      <protection/>
    </xf>
    <xf numFmtId="0" fontId="34" fillId="0" borderId="17" xfId="52" applyFont="1" applyFill="1" applyBorder="1" applyAlignment="1">
      <alignment vertical="center" wrapText="1"/>
      <protection/>
    </xf>
    <xf numFmtId="0" fontId="34" fillId="0" borderId="22" xfId="53" applyFont="1" applyFill="1" applyBorder="1" applyAlignment="1">
      <alignment vertical="center" wrapText="1"/>
      <protection/>
    </xf>
    <xf numFmtId="0" fontId="42" fillId="0" borderId="17" xfId="53" applyFont="1" applyFill="1" applyBorder="1" applyAlignment="1">
      <alignment vertical="center" wrapText="1"/>
      <protection/>
    </xf>
    <xf numFmtId="205" fontId="34" fillId="0" borderId="22" xfId="53" applyNumberFormat="1" applyFont="1" applyFill="1" applyBorder="1" applyAlignment="1">
      <alignment vertical="center"/>
      <protection/>
    </xf>
    <xf numFmtId="3" fontId="34" fillId="0" borderId="22" xfId="53" applyNumberFormat="1" applyFont="1" applyFill="1" applyBorder="1" applyAlignment="1">
      <alignment vertical="center"/>
      <protection/>
    </xf>
    <xf numFmtId="3" fontId="34" fillId="0" borderId="23" xfId="53" applyNumberFormat="1" applyFont="1" applyFill="1" applyBorder="1" applyAlignment="1">
      <alignment vertical="center"/>
      <protection/>
    </xf>
    <xf numFmtId="3" fontId="34" fillId="0" borderId="28" xfId="53" applyNumberFormat="1" applyFont="1" applyFill="1" applyBorder="1" applyAlignment="1">
      <alignment vertical="center"/>
      <protection/>
    </xf>
    <xf numFmtId="3" fontId="34" fillId="0" borderId="29" xfId="53" applyNumberFormat="1" applyFont="1" applyFill="1" applyBorder="1" applyAlignment="1">
      <alignment vertical="center"/>
      <protection/>
    </xf>
    <xf numFmtId="3" fontId="34" fillId="0" borderId="71" xfId="53" applyNumberFormat="1" applyFont="1" applyFill="1" applyBorder="1" applyAlignment="1">
      <alignment vertical="center"/>
      <protection/>
    </xf>
    <xf numFmtId="0" fontId="40" fillId="0" borderId="85" xfId="53" applyFont="1" applyFill="1" applyBorder="1" applyAlignment="1">
      <alignment horizontal="center" vertical="center"/>
      <protection/>
    </xf>
    <xf numFmtId="0" fontId="20" fillId="0" borderId="22" xfId="53" applyFont="1" applyFill="1" applyBorder="1" applyAlignment="1">
      <alignment horizontal="center" vertical="center" wrapText="1"/>
      <protection/>
    </xf>
    <xf numFmtId="3" fontId="34" fillId="0" borderId="86" xfId="53" applyNumberFormat="1" applyFont="1" applyFill="1" applyBorder="1" applyAlignment="1">
      <alignment vertical="center"/>
      <protection/>
    </xf>
    <xf numFmtId="0" fontId="34" fillId="0" borderId="86" xfId="53" applyFont="1" applyFill="1" applyBorder="1" applyAlignment="1">
      <alignment vertical="center"/>
      <protection/>
    </xf>
    <xf numFmtId="3" fontId="34" fillId="0" borderId="17" xfId="53" applyNumberFormat="1" applyFont="1" applyFill="1" applyBorder="1" applyAlignment="1">
      <alignment vertical="center"/>
      <protection/>
    </xf>
    <xf numFmtId="3" fontId="34" fillId="0" borderId="18" xfId="53" applyNumberFormat="1" applyFont="1" applyFill="1" applyBorder="1" applyAlignment="1">
      <alignment vertical="center"/>
      <protection/>
    </xf>
    <xf numFmtId="3" fontId="34" fillId="0" borderId="87" xfId="53" applyNumberFormat="1" applyFont="1" applyFill="1" applyBorder="1" applyAlignment="1">
      <alignment vertical="center"/>
      <protection/>
    </xf>
    <xf numFmtId="0" fontId="34" fillId="0" borderId="25" xfId="53" applyFont="1" applyFill="1" applyBorder="1" applyAlignment="1">
      <alignment vertical="center" wrapText="1"/>
      <protection/>
    </xf>
    <xf numFmtId="0" fontId="20" fillId="0" borderId="26" xfId="53" applyFont="1" applyFill="1" applyBorder="1" applyAlignment="1">
      <alignment horizontal="center" vertical="center" wrapText="1"/>
      <protection/>
    </xf>
    <xf numFmtId="3" fontId="34" fillId="0" borderId="25" xfId="53" applyNumberFormat="1" applyFont="1" applyFill="1" applyBorder="1" applyAlignment="1">
      <alignment vertical="center"/>
      <protection/>
    </xf>
    <xf numFmtId="3" fontId="34" fillId="0" borderId="26" xfId="53" applyNumberFormat="1" applyFont="1" applyFill="1" applyBorder="1" applyAlignment="1">
      <alignment vertical="center"/>
      <protection/>
    </xf>
    <xf numFmtId="0" fontId="34" fillId="0" borderId="26" xfId="53" applyFont="1" applyFill="1" applyBorder="1" applyAlignment="1">
      <alignment vertical="center"/>
      <protection/>
    </xf>
    <xf numFmtId="3" fontId="34" fillId="0" borderId="25" xfId="53" applyNumberFormat="1" applyFont="1" applyFill="1" applyBorder="1" applyAlignment="1">
      <alignment vertical="center"/>
      <protection/>
    </xf>
    <xf numFmtId="3" fontId="34" fillId="0" borderId="31" xfId="53" applyNumberFormat="1" applyFont="1" applyFill="1" applyBorder="1" applyAlignment="1">
      <alignment vertical="center"/>
      <protection/>
    </xf>
    <xf numFmtId="3" fontId="34" fillId="0" borderId="88" xfId="53" applyNumberFormat="1" applyFont="1" applyFill="1" applyBorder="1" applyAlignment="1">
      <alignment vertical="center"/>
      <protection/>
    </xf>
    <xf numFmtId="0" fontId="40" fillId="0" borderId="85" xfId="53" applyFont="1" applyBorder="1" applyAlignment="1">
      <alignment horizontal="center" vertical="center"/>
      <protection/>
    </xf>
    <xf numFmtId="0" fontId="43" fillId="0" borderId="89" xfId="53" applyFont="1" applyBorder="1" applyAlignment="1">
      <alignment horizontal="center" vertical="center"/>
      <protection/>
    </xf>
    <xf numFmtId="0" fontId="41" fillId="0" borderId="63" xfId="53" applyFont="1" applyFill="1" applyBorder="1" applyAlignment="1">
      <alignment vertical="center" wrapText="1"/>
      <protection/>
    </xf>
    <xf numFmtId="205" fontId="20" fillId="0" borderId="22" xfId="53" applyNumberFormat="1" applyFont="1" applyFill="1" applyBorder="1" applyAlignment="1">
      <alignment horizontal="center" vertical="center" wrapText="1"/>
      <protection/>
    </xf>
    <xf numFmtId="205" fontId="34" fillId="0" borderId="22" xfId="53" applyNumberFormat="1" applyFont="1" applyFill="1" applyBorder="1" applyAlignment="1">
      <alignment vertical="center"/>
      <protection/>
    </xf>
    <xf numFmtId="205" fontId="34" fillId="22" borderId="22" xfId="53" applyNumberFormat="1" applyFont="1" applyFill="1" applyBorder="1" applyAlignment="1">
      <alignment vertical="center"/>
      <protection/>
    </xf>
    <xf numFmtId="205" fontId="34" fillId="0" borderId="0" xfId="53" applyNumberFormat="1" applyFont="1" applyBorder="1" applyAlignment="1">
      <alignment vertical="center"/>
      <protection/>
    </xf>
    <xf numFmtId="3" fontId="34" fillId="0" borderId="22" xfId="53" applyNumberFormat="1" applyFont="1" applyFill="1" applyBorder="1" applyAlignment="1">
      <alignment vertical="center"/>
      <protection/>
    </xf>
    <xf numFmtId="205" fontId="44" fillId="0" borderId="26" xfId="53" applyNumberFormat="1" applyFont="1" applyFill="1" applyBorder="1" applyAlignment="1">
      <alignment vertical="center" wrapText="1"/>
      <protection/>
    </xf>
    <xf numFmtId="205" fontId="37" fillId="0" borderId="26" xfId="53" applyNumberFormat="1" applyFont="1" applyFill="1" applyBorder="1" applyAlignment="1">
      <alignment vertical="center"/>
      <protection/>
    </xf>
    <xf numFmtId="205" fontId="37" fillId="0" borderId="26" xfId="53" applyNumberFormat="1" applyFont="1" applyFill="1" applyBorder="1" applyAlignment="1">
      <alignment vertical="center"/>
      <protection/>
    </xf>
    <xf numFmtId="205" fontId="37" fillId="22" borderId="26" xfId="53" applyNumberFormat="1" applyFont="1" applyFill="1" applyBorder="1" applyAlignment="1">
      <alignment vertical="center"/>
      <protection/>
    </xf>
    <xf numFmtId="3" fontId="37" fillId="0" borderId="22" xfId="53" applyNumberFormat="1" applyFont="1" applyFill="1" applyBorder="1" applyAlignment="1">
      <alignment vertical="center"/>
      <protection/>
    </xf>
    <xf numFmtId="3" fontId="34" fillId="0" borderId="90" xfId="53" applyNumberFormat="1" applyFont="1" applyFill="1" applyBorder="1" applyAlignment="1">
      <alignment vertical="center"/>
      <protection/>
    </xf>
    <xf numFmtId="205" fontId="41" fillId="0" borderId="26" xfId="53" applyNumberFormat="1" applyFont="1" applyFill="1" applyBorder="1" applyAlignment="1">
      <alignment vertical="center"/>
      <protection/>
    </xf>
    <xf numFmtId="205" fontId="41" fillId="0" borderId="26" xfId="53" applyNumberFormat="1" applyFont="1" applyFill="1" applyBorder="1" applyAlignment="1">
      <alignment vertical="center"/>
      <protection/>
    </xf>
    <xf numFmtId="205" fontId="41" fillId="22" borderId="26" xfId="53" applyNumberFormat="1" applyFont="1" applyFill="1" applyBorder="1" applyAlignment="1">
      <alignment vertical="center"/>
      <protection/>
    </xf>
    <xf numFmtId="3" fontId="41" fillId="0" borderId="22" xfId="53" applyNumberFormat="1" applyFont="1" applyFill="1" applyBorder="1" applyAlignment="1">
      <alignment vertical="center"/>
      <protection/>
    </xf>
    <xf numFmtId="0" fontId="34" fillId="0" borderId="0" xfId="53" applyFont="1" applyFill="1" applyBorder="1" applyAlignment="1">
      <alignment vertical="center"/>
      <protection/>
    </xf>
    <xf numFmtId="0" fontId="34" fillId="0" borderId="17" xfId="52" applyFont="1" applyFill="1" applyBorder="1" applyAlignment="1">
      <alignment horizontal="left" vertical="center" wrapText="1"/>
      <protection/>
    </xf>
    <xf numFmtId="0" fontId="43" fillId="0" borderId="84" xfId="53" applyFont="1" applyBorder="1" applyAlignment="1">
      <alignment horizontal="center" vertical="center"/>
      <protection/>
    </xf>
    <xf numFmtId="0" fontId="34" fillId="0" borderId="22" xfId="52" applyFont="1" applyFill="1" applyBorder="1" applyAlignment="1">
      <alignment horizontal="left" vertical="center" wrapText="1"/>
      <protection/>
    </xf>
    <xf numFmtId="0" fontId="34" fillId="0" borderId="63" xfId="53" applyFont="1" applyFill="1" applyBorder="1" applyAlignment="1">
      <alignment horizontal="left" vertical="center" wrapText="1"/>
      <protection/>
    </xf>
    <xf numFmtId="205" fontId="34" fillId="0" borderId="26" xfId="53" applyNumberFormat="1" applyFont="1" applyFill="1" applyBorder="1" applyAlignment="1">
      <alignment vertical="center"/>
      <protection/>
    </xf>
    <xf numFmtId="0" fontId="34" fillId="0" borderId="0" xfId="53" applyFont="1" applyFill="1" applyBorder="1" applyAlignment="1">
      <alignment horizontal="left" vertical="center" wrapText="1"/>
      <protection/>
    </xf>
    <xf numFmtId="0" fontId="43" fillId="0" borderId="84" xfId="53" applyFont="1" applyFill="1" applyBorder="1" applyAlignment="1">
      <alignment horizontal="center" vertical="center"/>
      <protection/>
    </xf>
    <xf numFmtId="0" fontId="34" fillId="0" borderId="22" xfId="52" applyFont="1" applyFill="1" applyBorder="1" applyAlignment="1">
      <alignment vertical="center" wrapText="1"/>
      <protection/>
    </xf>
    <xf numFmtId="0" fontId="34" fillId="0" borderId="26" xfId="53" applyFont="1" applyFill="1" applyBorder="1" applyAlignment="1">
      <alignment horizontal="center" vertical="center"/>
      <protection/>
    </xf>
    <xf numFmtId="3" fontId="34" fillId="0" borderId="0" xfId="53" applyNumberFormat="1" applyFont="1" applyFill="1" applyBorder="1" applyAlignment="1">
      <alignment vertical="center"/>
      <protection/>
    </xf>
    <xf numFmtId="205" fontId="34" fillId="0" borderId="0" xfId="53" applyNumberFormat="1" applyFont="1" applyFill="1" applyBorder="1" applyAlignment="1">
      <alignment vertical="center"/>
      <protection/>
    </xf>
    <xf numFmtId="0" fontId="20" fillId="0" borderId="0" xfId="54" applyBorder="1" applyAlignment="1">
      <alignment/>
      <protection/>
    </xf>
    <xf numFmtId="0" fontId="34" fillId="0" borderId="22" xfId="53" applyFont="1" applyFill="1" applyBorder="1" applyAlignment="1">
      <alignment vertical="center"/>
      <protection/>
    </xf>
    <xf numFmtId="3" fontId="34" fillId="0" borderId="23" xfId="52" applyNumberFormat="1" applyFont="1" applyFill="1" applyBorder="1" applyAlignment="1">
      <alignment vertical="center" wrapText="1"/>
      <protection/>
    </xf>
    <xf numFmtId="0" fontId="43" fillId="0" borderId="83" xfId="53" applyFont="1" applyFill="1" applyBorder="1" applyAlignment="1">
      <alignment horizontal="center" vertical="center"/>
      <protection/>
    </xf>
    <xf numFmtId="0" fontId="34" fillId="0" borderId="26" xfId="53" applyFont="1" applyFill="1" applyBorder="1" applyAlignment="1">
      <alignment vertical="center" wrapText="1"/>
      <protection/>
    </xf>
    <xf numFmtId="205" fontId="45" fillId="0" borderId="17" xfId="53" applyNumberFormat="1" applyFont="1" applyFill="1" applyBorder="1" applyAlignment="1">
      <alignment vertical="center" wrapText="1"/>
      <protection/>
    </xf>
    <xf numFmtId="205" fontId="46" fillId="0" borderId="17" xfId="53" applyNumberFormat="1" applyFont="1" applyFill="1" applyBorder="1" applyAlignment="1">
      <alignment vertical="center"/>
      <protection/>
    </xf>
    <xf numFmtId="0" fontId="34" fillId="0" borderId="26" xfId="52" applyFont="1" applyFill="1" applyBorder="1" applyAlignment="1">
      <alignment vertical="center" wrapText="1"/>
      <protection/>
    </xf>
    <xf numFmtId="1" fontId="20" fillId="0" borderId="22" xfId="53" applyNumberFormat="1" applyFont="1" applyFill="1" applyBorder="1" applyAlignment="1">
      <alignment horizontal="center" vertical="center" wrapText="1"/>
      <protection/>
    </xf>
    <xf numFmtId="205" fontId="37" fillId="0" borderId="22" xfId="53" applyNumberFormat="1" applyFont="1" applyFill="1" applyBorder="1" applyAlignment="1">
      <alignment vertical="center"/>
      <protection/>
    </xf>
    <xf numFmtId="205" fontId="37" fillId="22" borderId="22" xfId="53" applyNumberFormat="1" applyFont="1" applyFill="1" applyBorder="1" applyAlignment="1">
      <alignment vertical="center"/>
      <protection/>
    </xf>
    <xf numFmtId="3" fontId="37" fillId="0" borderId="17" xfId="53" applyNumberFormat="1" applyFont="1" applyFill="1" applyBorder="1" applyAlignment="1">
      <alignment vertical="center"/>
      <protection/>
    </xf>
    <xf numFmtId="3" fontId="37" fillId="0" borderId="0" xfId="53" applyNumberFormat="1" applyFont="1" applyFill="1" applyBorder="1" applyAlignment="1">
      <alignment vertical="center"/>
      <protection/>
    </xf>
    <xf numFmtId="0" fontId="37" fillId="0" borderId="0" xfId="53" applyFont="1" applyFill="1" applyBorder="1" applyAlignment="1">
      <alignment vertical="center"/>
      <protection/>
    </xf>
    <xf numFmtId="3" fontId="37" fillId="0" borderId="23" xfId="53" applyNumberFormat="1" applyFont="1" applyFill="1" applyBorder="1" applyAlignment="1">
      <alignment vertical="center"/>
      <protection/>
    </xf>
    <xf numFmtId="205" fontId="41" fillId="0" borderId="22" xfId="53" applyNumberFormat="1" applyFont="1" applyFill="1" applyBorder="1" applyAlignment="1">
      <alignment vertical="center"/>
      <protection/>
    </xf>
    <xf numFmtId="205" fontId="41" fillId="22" borderId="22" xfId="53" applyNumberFormat="1" applyFont="1" applyFill="1" applyBorder="1" applyAlignment="1">
      <alignment vertical="center"/>
      <protection/>
    </xf>
    <xf numFmtId="3" fontId="41" fillId="0" borderId="17" xfId="53" applyNumberFormat="1" applyFont="1" applyFill="1" applyBorder="1" applyAlignment="1">
      <alignment vertical="center"/>
      <protection/>
    </xf>
    <xf numFmtId="3" fontId="41" fillId="0" borderId="0" xfId="53" applyNumberFormat="1" applyFont="1" applyFill="1" applyBorder="1" applyAlignment="1">
      <alignment vertical="center"/>
      <protection/>
    </xf>
    <xf numFmtId="0" fontId="41" fillId="0" borderId="0" xfId="53" applyFont="1" applyFill="1" applyBorder="1" applyAlignment="1">
      <alignment vertical="center"/>
      <protection/>
    </xf>
    <xf numFmtId="3" fontId="41" fillId="0" borderId="23" xfId="53" applyNumberFormat="1" applyFont="1" applyFill="1" applyBorder="1" applyAlignment="1">
      <alignment vertical="center"/>
      <protection/>
    </xf>
    <xf numFmtId="205" fontId="20" fillId="0" borderId="26" xfId="53" applyNumberFormat="1" applyFont="1" applyFill="1" applyBorder="1" applyAlignment="1">
      <alignment horizontal="center" vertical="center" wrapText="1"/>
      <protection/>
    </xf>
    <xf numFmtId="3" fontId="34" fillId="0" borderId="0" xfId="53" applyNumberFormat="1" applyFont="1" applyFill="1" applyBorder="1" applyAlignment="1">
      <alignment vertical="center"/>
      <protection/>
    </xf>
    <xf numFmtId="3" fontId="34" fillId="0" borderId="23" xfId="53" applyNumberFormat="1" applyFont="1" applyFill="1" applyBorder="1" applyAlignment="1">
      <alignment vertical="center"/>
      <protection/>
    </xf>
    <xf numFmtId="0" fontId="34" fillId="0" borderId="63" xfId="53" applyFont="1" applyFill="1" applyBorder="1" applyAlignment="1">
      <alignment vertical="center" wrapText="1"/>
      <protection/>
    </xf>
    <xf numFmtId="3" fontId="37" fillId="0" borderId="90" xfId="53" applyNumberFormat="1" applyFont="1" applyFill="1" applyBorder="1" applyAlignment="1">
      <alignment vertical="center"/>
      <protection/>
    </xf>
    <xf numFmtId="0" fontId="34" fillId="0" borderId="17" xfId="53" applyFont="1" applyFill="1" applyBorder="1" applyAlignment="1">
      <alignment vertical="center" wrapText="1"/>
      <protection/>
    </xf>
    <xf numFmtId="3" fontId="41" fillId="0" borderId="90" xfId="53" applyNumberFormat="1" applyFont="1" applyFill="1" applyBorder="1" applyAlignment="1">
      <alignment vertical="center"/>
      <protection/>
    </xf>
    <xf numFmtId="0" fontId="43" fillId="0" borderId="83" xfId="53" applyFont="1" applyBorder="1" applyAlignment="1">
      <alignment horizontal="center" vertical="center"/>
      <protection/>
    </xf>
    <xf numFmtId="0" fontId="34" fillId="0" borderId="22" xfId="53" applyFont="1" applyFill="1" applyBorder="1" applyAlignment="1">
      <alignment horizontal="center" vertical="center"/>
      <protection/>
    </xf>
    <xf numFmtId="3" fontId="34" fillId="0" borderId="86" xfId="53" applyNumberFormat="1" applyFont="1" applyBorder="1" applyAlignment="1">
      <alignment vertical="center"/>
      <protection/>
    </xf>
    <xf numFmtId="0" fontId="34" fillId="0" borderId="86" xfId="53" applyFont="1" applyBorder="1" applyAlignment="1">
      <alignment vertical="center"/>
      <protection/>
    </xf>
    <xf numFmtId="205" fontId="34" fillId="22" borderId="63" xfId="53" applyNumberFormat="1" applyFont="1" applyFill="1" applyBorder="1" applyAlignment="1">
      <alignment vertical="center"/>
      <protection/>
    </xf>
    <xf numFmtId="205" fontId="34" fillId="0" borderId="63" xfId="53" applyNumberFormat="1" applyFont="1" applyFill="1" applyBorder="1" applyAlignment="1">
      <alignment vertical="center"/>
      <protection/>
    </xf>
    <xf numFmtId="3" fontId="34" fillId="0" borderId="0" xfId="53" applyNumberFormat="1" applyFont="1" applyFill="1" applyAlignment="1">
      <alignment vertical="center"/>
      <protection/>
    </xf>
    <xf numFmtId="0" fontId="47" fillId="0" borderId="91" xfId="53" applyFont="1" applyBorder="1" applyAlignment="1">
      <alignment horizontal="center" vertical="center"/>
      <protection/>
    </xf>
    <xf numFmtId="0" fontId="41" fillId="0" borderId="17" xfId="53" applyFont="1" applyFill="1" applyBorder="1" applyAlignment="1">
      <alignment vertical="center" wrapText="1"/>
      <protection/>
    </xf>
    <xf numFmtId="0" fontId="20" fillId="0" borderId="63" xfId="53" applyFont="1" applyFill="1" applyBorder="1" applyAlignment="1">
      <alignment vertical="center" wrapText="1"/>
      <protection/>
    </xf>
    <xf numFmtId="0" fontId="34" fillId="0" borderId="63" xfId="53" applyFont="1" applyFill="1" applyBorder="1" applyAlignment="1">
      <alignment vertical="center"/>
      <protection/>
    </xf>
    <xf numFmtId="0" fontId="34" fillId="0" borderId="0" xfId="53" applyFont="1" applyFill="1" applyBorder="1" applyAlignment="1">
      <alignment vertical="center" wrapText="1"/>
      <protection/>
    </xf>
    <xf numFmtId="0" fontId="34" fillId="0" borderId="0" xfId="52" applyFont="1" applyFill="1" applyBorder="1" applyAlignment="1">
      <alignment horizontal="left" vertical="center" wrapText="1"/>
      <protection/>
    </xf>
    <xf numFmtId="0" fontId="34" fillId="0" borderId="0" xfId="52" applyFont="1" applyFill="1" applyBorder="1" applyAlignment="1">
      <alignment vertical="center" wrapText="1"/>
      <protection/>
    </xf>
    <xf numFmtId="0" fontId="42" fillId="0" borderId="0" xfId="53" applyFont="1" applyFill="1" applyBorder="1" applyAlignment="1">
      <alignment vertical="center" wrapText="1"/>
      <protection/>
    </xf>
    <xf numFmtId="205" fontId="34" fillId="0" borderId="0" xfId="53" applyNumberFormat="1" applyFont="1" applyFill="1" applyBorder="1" applyAlignment="1">
      <alignment vertical="center"/>
      <protection/>
    </xf>
    <xf numFmtId="205" fontId="46" fillId="0" borderId="0" xfId="53" applyNumberFormat="1" applyFont="1" applyFill="1" applyBorder="1" applyAlignment="1">
      <alignment vertical="center"/>
      <protection/>
    </xf>
    <xf numFmtId="0" fontId="46" fillId="0" borderId="0" xfId="53" applyFont="1" applyFill="1" applyBorder="1" applyAlignment="1">
      <alignment horizontal="left" vertical="center" wrapText="1"/>
      <protection/>
    </xf>
    <xf numFmtId="0" fontId="46" fillId="0" borderId="92" xfId="53" applyFont="1" applyFill="1" applyBorder="1" applyAlignment="1">
      <alignment vertical="center"/>
      <protection/>
    </xf>
    <xf numFmtId="0" fontId="46" fillId="0" borderId="63" xfId="53" applyFont="1" applyFill="1" applyBorder="1" applyAlignment="1">
      <alignment vertical="center"/>
      <protection/>
    </xf>
    <xf numFmtId="3" fontId="46" fillId="0" borderId="46" xfId="53" applyNumberFormat="1" applyFont="1" applyFill="1" applyBorder="1" applyAlignment="1">
      <alignment vertical="center"/>
      <protection/>
    </xf>
    <xf numFmtId="0" fontId="47" fillId="0" borderId="84" xfId="53" applyFont="1" applyFill="1" applyBorder="1" applyAlignment="1">
      <alignment horizontal="center" vertical="center"/>
      <protection/>
    </xf>
    <xf numFmtId="0" fontId="46" fillId="0" borderId="18" xfId="53" applyFont="1" applyFill="1" applyBorder="1" applyAlignment="1">
      <alignment vertical="center" wrapText="1"/>
      <protection/>
    </xf>
    <xf numFmtId="0" fontId="20" fillId="0" borderId="26" xfId="53" applyFont="1" applyFill="1" applyBorder="1" applyAlignment="1">
      <alignment vertical="center" wrapText="1"/>
      <protection/>
    </xf>
    <xf numFmtId="0" fontId="46" fillId="0" borderId="0" xfId="53" applyFont="1" applyFill="1" applyBorder="1" applyAlignment="1">
      <alignment vertical="center"/>
      <protection/>
    </xf>
    <xf numFmtId="3" fontId="46" fillId="0" borderId="0" xfId="53" applyNumberFormat="1" applyFont="1" applyFill="1" applyBorder="1" applyAlignment="1">
      <alignment vertical="center"/>
      <protection/>
    </xf>
    <xf numFmtId="3" fontId="34" fillId="0" borderId="31" xfId="53" applyNumberFormat="1" applyFont="1" applyFill="1" applyBorder="1" applyAlignment="1">
      <alignment vertical="center"/>
      <protection/>
    </xf>
    <xf numFmtId="3" fontId="34" fillId="0" borderId="93" xfId="53" applyNumberFormat="1" applyFont="1" applyFill="1" applyBorder="1" applyAlignment="1">
      <alignment vertical="center"/>
      <protection/>
    </xf>
    <xf numFmtId="0" fontId="40" fillId="0" borderId="12" xfId="53" applyFont="1" applyFill="1" applyBorder="1" applyAlignment="1">
      <alignment vertical="center"/>
      <protection/>
    </xf>
    <xf numFmtId="0" fontId="48" fillId="0" borderId="12" xfId="52" applyFont="1" applyFill="1" applyBorder="1" applyAlignment="1">
      <alignment vertical="center" wrapText="1"/>
      <protection/>
    </xf>
    <xf numFmtId="0" fontId="34" fillId="0" borderId="28" xfId="53" applyFont="1" applyFill="1" applyBorder="1" applyAlignment="1">
      <alignment vertical="center" wrapText="1"/>
      <protection/>
    </xf>
    <xf numFmtId="0" fontId="41" fillId="0" borderId="28" xfId="52" applyFont="1" applyFill="1" applyBorder="1" applyAlignment="1">
      <alignment vertical="center" wrapText="1"/>
      <protection/>
    </xf>
    <xf numFmtId="205" fontId="34" fillId="0" borderId="28" xfId="53" applyNumberFormat="1" applyFont="1" applyFill="1" applyBorder="1" applyAlignment="1">
      <alignment vertical="center"/>
      <protection/>
    </xf>
    <xf numFmtId="205" fontId="40" fillId="22" borderId="28" xfId="53" applyNumberFormat="1" applyFont="1" applyFill="1" applyBorder="1" applyAlignment="1">
      <alignment vertical="center"/>
      <protection/>
    </xf>
    <xf numFmtId="3" fontId="34" fillId="0" borderId="28" xfId="53" applyNumberFormat="1" applyFont="1" applyFill="1" applyBorder="1" applyAlignment="1">
      <alignment vertical="center"/>
      <protection/>
    </xf>
    <xf numFmtId="0" fontId="34" fillId="0" borderId="0" xfId="53" applyFont="1" applyBorder="1" applyAlignment="1">
      <alignment vertical="center"/>
      <protection/>
    </xf>
    <xf numFmtId="3" fontId="34" fillId="0" borderId="29" xfId="53" applyNumberFormat="1" applyFont="1" applyFill="1" applyBorder="1" applyAlignment="1">
      <alignment vertical="center"/>
      <protection/>
    </xf>
    <xf numFmtId="3" fontId="40" fillId="0" borderId="29" xfId="53" applyNumberFormat="1" applyFont="1" applyFill="1" applyBorder="1" applyAlignment="1">
      <alignment vertical="center"/>
      <protection/>
    </xf>
    <xf numFmtId="3" fontId="40" fillId="0" borderId="71" xfId="53" applyNumberFormat="1" applyFont="1" applyFill="1" applyBorder="1" applyAlignment="1">
      <alignment vertical="center"/>
      <protection/>
    </xf>
    <xf numFmtId="205" fontId="34" fillId="0" borderId="22" xfId="53" applyNumberFormat="1" applyFont="1" applyFill="1" applyBorder="1" applyAlignment="1">
      <alignment vertical="center"/>
      <protection/>
    </xf>
    <xf numFmtId="205" fontId="34" fillId="22" borderId="63" xfId="53" applyNumberFormat="1" applyFont="1" applyFill="1" applyBorder="1" applyAlignment="1">
      <alignment vertical="center"/>
      <protection/>
    </xf>
    <xf numFmtId="205" fontId="34" fillId="0" borderId="63" xfId="53" applyNumberFormat="1" applyFont="1" applyFill="1" applyBorder="1" applyAlignment="1">
      <alignment vertical="center"/>
      <protection/>
    </xf>
    <xf numFmtId="0" fontId="34" fillId="0" borderId="0" xfId="53" applyFont="1" applyBorder="1" applyAlignment="1">
      <alignment vertical="center" wrapText="1"/>
      <protection/>
    </xf>
    <xf numFmtId="205" fontId="34" fillId="0" borderId="26" xfId="53" applyNumberFormat="1" applyFont="1" applyFill="1" applyBorder="1" applyAlignment="1">
      <alignment vertical="center"/>
      <protection/>
    </xf>
    <xf numFmtId="205" fontId="34" fillId="22" borderId="26" xfId="53" applyNumberFormat="1" applyFont="1" applyFill="1" applyBorder="1" applyAlignment="1">
      <alignment vertical="center"/>
      <protection/>
    </xf>
    <xf numFmtId="0" fontId="40" fillId="0" borderId="91" xfId="53" applyFont="1" applyBorder="1" applyAlignment="1">
      <alignment horizontal="center" vertical="center"/>
      <protection/>
    </xf>
    <xf numFmtId="205" fontId="40" fillId="22" borderId="12" xfId="53" applyNumberFormat="1" applyFont="1" applyFill="1" applyBorder="1" applyAlignment="1">
      <alignment vertical="center"/>
      <protection/>
    </xf>
    <xf numFmtId="205" fontId="40" fillId="0" borderId="12" xfId="53" applyNumberFormat="1" applyFont="1" applyFill="1" applyBorder="1" applyAlignment="1">
      <alignment vertical="center"/>
      <protection/>
    </xf>
    <xf numFmtId="0" fontId="34" fillId="0" borderId="28" xfId="53" applyFont="1" applyFill="1" applyBorder="1" applyAlignment="1">
      <alignment vertical="center" wrapText="1"/>
      <protection/>
    </xf>
    <xf numFmtId="3" fontId="40" fillId="0" borderId="94" xfId="53" applyNumberFormat="1" applyFont="1" applyFill="1" applyBorder="1" applyAlignment="1">
      <alignment vertical="center"/>
      <protection/>
    </xf>
    <xf numFmtId="0" fontId="34" fillId="0" borderId="86" xfId="53" applyFont="1" applyFill="1" applyBorder="1" applyAlignment="1">
      <alignment vertical="center"/>
      <protection/>
    </xf>
    <xf numFmtId="3" fontId="40" fillId="0" borderId="18" xfId="53" applyNumberFormat="1" applyFont="1" applyFill="1" applyBorder="1" applyAlignment="1">
      <alignment vertical="center"/>
      <protection/>
    </xf>
    <xf numFmtId="3" fontId="40" fillId="0" borderId="28" xfId="53" applyNumberFormat="1" applyFont="1" applyFill="1" applyBorder="1" applyAlignment="1">
      <alignment vertical="center"/>
      <protection/>
    </xf>
    <xf numFmtId="0" fontId="40" fillId="0" borderId="95" xfId="53" applyFont="1" applyFill="1" applyBorder="1" applyAlignment="1">
      <alignment horizontal="center" vertical="center"/>
      <protection/>
    </xf>
    <xf numFmtId="3" fontId="34" fillId="0" borderId="94" xfId="53" applyNumberFormat="1" applyFont="1" applyFill="1" applyBorder="1" applyAlignment="1">
      <alignment vertical="center"/>
      <protection/>
    </xf>
    <xf numFmtId="0" fontId="34" fillId="0" borderId="96" xfId="53" applyFont="1" applyFill="1" applyBorder="1" applyAlignment="1">
      <alignment vertical="center" wrapText="1"/>
      <protection/>
    </xf>
    <xf numFmtId="0" fontId="49" fillId="0" borderId="76" xfId="54" applyFont="1" applyBorder="1" applyAlignment="1">
      <alignment vertical="center" wrapText="1"/>
      <protection/>
    </xf>
    <xf numFmtId="0" fontId="34" fillId="0" borderId="76" xfId="53" applyFont="1" applyFill="1" applyBorder="1" applyAlignment="1">
      <alignment horizontal="center" vertical="center"/>
      <protection/>
    </xf>
    <xf numFmtId="3" fontId="34" fillId="0" borderId="76" xfId="53" applyNumberFormat="1" applyFont="1" applyFill="1" applyBorder="1" applyAlignment="1">
      <alignment vertical="center"/>
      <protection/>
    </xf>
    <xf numFmtId="3" fontId="34" fillId="0" borderId="77" xfId="53" applyNumberFormat="1" applyFont="1" applyFill="1" applyBorder="1" applyAlignment="1">
      <alignment vertical="center"/>
      <protection/>
    </xf>
    <xf numFmtId="3" fontId="34" fillId="0" borderId="97" xfId="53" applyNumberFormat="1" applyFont="1" applyFill="1" applyBorder="1" applyAlignment="1">
      <alignment vertical="center"/>
      <protection/>
    </xf>
    <xf numFmtId="0" fontId="40" fillId="0" borderId="98" xfId="53" applyFont="1" applyBorder="1" applyAlignment="1">
      <alignment horizontal="center" vertical="center"/>
      <protection/>
    </xf>
    <xf numFmtId="205" fontId="34" fillId="0" borderId="17" xfId="53" applyNumberFormat="1" applyFont="1" applyFill="1" applyBorder="1" applyAlignment="1">
      <alignment vertical="center"/>
      <protection/>
    </xf>
    <xf numFmtId="205" fontId="34" fillId="22" borderId="17" xfId="53" applyNumberFormat="1" applyFont="1" applyFill="1" applyBorder="1" applyAlignment="1">
      <alignment vertical="center"/>
      <protection/>
    </xf>
    <xf numFmtId="0" fontId="40" fillId="0" borderId="72" xfId="53" applyFont="1" applyBorder="1" applyAlignment="1">
      <alignment horizontal="center" vertical="center"/>
      <protection/>
    </xf>
    <xf numFmtId="0" fontId="34" fillId="0" borderId="76" xfId="53" applyFont="1" applyFill="1" applyBorder="1" applyAlignment="1">
      <alignment vertical="center"/>
      <protection/>
    </xf>
    <xf numFmtId="205" fontId="34" fillId="0" borderId="76" xfId="53" applyNumberFormat="1" applyFont="1" applyFill="1" applyBorder="1" applyAlignment="1">
      <alignment vertical="center"/>
      <protection/>
    </xf>
    <xf numFmtId="205" fontId="34" fillId="22" borderId="76" xfId="53" applyNumberFormat="1" applyFont="1" applyFill="1" applyBorder="1" applyAlignment="1">
      <alignment vertical="center"/>
      <protection/>
    </xf>
    <xf numFmtId="3" fontId="34" fillId="0" borderId="73" xfId="53" applyNumberFormat="1" applyFont="1" applyBorder="1" applyAlignment="1">
      <alignment vertical="center"/>
      <protection/>
    </xf>
    <xf numFmtId="0" fontId="40" fillId="0" borderId="83" xfId="53" applyFont="1" applyBorder="1" applyAlignment="1">
      <alignment horizontal="center" vertical="center"/>
      <protection/>
    </xf>
    <xf numFmtId="0" fontId="34" fillId="0" borderId="50" xfId="53" applyFont="1" applyBorder="1" applyAlignment="1">
      <alignment vertical="center"/>
      <protection/>
    </xf>
    <xf numFmtId="3" fontId="40" fillId="0" borderId="99" xfId="53" applyNumberFormat="1" applyFont="1" applyFill="1" applyBorder="1" applyAlignment="1">
      <alignment vertical="center"/>
      <protection/>
    </xf>
    <xf numFmtId="205" fontId="44" fillId="0" borderId="22" xfId="53" applyNumberFormat="1" applyFont="1" applyFill="1" applyBorder="1" applyAlignment="1">
      <alignment horizontal="left" vertical="center" wrapText="1"/>
      <protection/>
    </xf>
    <xf numFmtId="205" fontId="37" fillId="0" borderId="17" xfId="53" applyNumberFormat="1" applyFont="1" applyFill="1" applyBorder="1" applyAlignment="1">
      <alignment vertical="center"/>
      <protection/>
    </xf>
    <xf numFmtId="0" fontId="37" fillId="0" borderId="22" xfId="53" applyFont="1" applyFill="1" applyBorder="1" applyAlignment="1">
      <alignment vertical="center"/>
      <protection/>
    </xf>
    <xf numFmtId="205" fontId="37" fillId="22" borderId="17" xfId="53" applyNumberFormat="1" applyFont="1" applyFill="1" applyBorder="1" applyAlignment="1">
      <alignment vertical="center"/>
      <protection/>
    </xf>
    <xf numFmtId="3" fontId="37" fillId="0" borderId="18" xfId="53" applyNumberFormat="1" applyFont="1" applyFill="1" applyBorder="1" applyAlignment="1">
      <alignment vertical="center"/>
      <protection/>
    </xf>
    <xf numFmtId="0" fontId="44" fillId="0" borderId="22" xfId="53" applyFont="1" applyFill="1" applyBorder="1" applyAlignment="1">
      <alignment horizontal="left" vertical="center" wrapText="1"/>
      <protection/>
    </xf>
    <xf numFmtId="205" fontId="41" fillId="0" borderId="17" xfId="53" applyNumberFormat="1" applyFont="1" applyFill="1" applyBorder="1" applyAlignment="1">
      <alignment vertical="center"/>
      <protection/>
    </xf>
    <xf numFmtId="205" fontId="41" fillId="22" borderId="17" xfId="53" applyNumberFormat="1" applyFont="1" applyFill="1" applyBorder="1" applyAlignment="1">
      <alignment vertical="center"/>
      <protection/>
    </xf>
    <xf numFmtId="3" fontId="41" fillId="0" borderId="18" xfId="53" applyNumberFormat="1" applyFont="1" applyFill="1" applyBorder="1" applyAlignment="1">
      <alignment vertical="center"/>
      <protection/>
    </xf>
    <xf numFmtId="0" fontId="40" fillId="0" borderId="91" xfId="53" applyFont="1" applyFill="1" applyBorder="1" applyAlignment="1">
      <alignment horizontal="center" vertical="center"/>
      <protection/>
    </xf>
    <xf numFmtId="0" fontId="46" fillId="0" borderId="22" xfId="53" applyFont="1" applyFill="1" applyBorder="1" applyAlignment="1">
      <alignment horizontal="left" vertical="center" wrapText="1"/>
      <protection/>
    </xf>
    <xf numFmtId="205" fontId="41" fillId="0" borderId="0" xfId="53" applyNumberFormat="1" applyFont="1" applyFill="1" applyBorder="1" applyAlignment="1">
      <alignment vertical="center"/>
      <protection/>
    </xf>
    <xf numFmtId="0" fontId="34" fillId="0" borderId="22" xfId="53" applyFont="1" applyFill="1" applyBorder="1" applyAlignment="1">
      <alignment horizontal="center" vertical="center" wrapText="1"/>
      <protection/>
    </xf>
    <xf numFmtId="3" fontId="34" fillId="0" borderId="90" xfId="53" applyNumberFormat="1" applyFont="1" applyFill="1" applyBorder="1" applyAlignment="1">
      <alignment vertical="center"/>
      <protection/>
    </xf>
    <xf numFmtId="205" fontId="44" fillId="0" borderId="22" xfId="53" applyNumberFormat="1" applyFont="1" applyFill="1" applyBorder="1" applyAlignment="1">
      <alignment vertical="center" wrapText="1"/>
      <protection/>
    </xf>
    <xf numFmtId="205" fontId="37" fillId="0" borderId="0" xfId="53" applyNumberFormat="1" applyFont="1" applyFill="1" applyBorder="1" applyAlignment="1">
      <alignment vertical="center"/>
      <protection/>
    </xf>
    <xf numFmtId="0" fontId="40" fillId="3" borderId="80" xfId="52" applyFont="1" applyFill="1" applyBorder="1" applyAlignment="1">
      <alignment horizontal="center" vertical="center"/>
      <protection/>
    </xf>
    <xf numFmtId="0" fontId="40" fillId="3" borderId="34" xfId="52" applyFont="1" applyFill="1" applyBorder="1">
      <alignment/>
      <protection/>
    </xf>
    <xf numFmtId="0" fontId="40" fillId="3" borderId="78" xfId="52" applyFont="1" applyFill="1" applyBorder="1" applyAlignment="1">
      <alignment vertical="center" wrapText="1"/>
      <protection/>
    </xf>
    <xf numFmtId="0" fontId="40" fillId="3" borderId="12" xfId="52" applyFont="1" applyFill="1" applyBorder="1" applyAlignment="1">
      <alignment vertical="center"/>
      <protection/>
    </xf>
    <xf numFmtId="205" fontId="39" fillId="22" borderId="12" xfId="52" applyNumberFormat="1" applyFont="1" applyFill="1" applyBorder="1" applyAlignment="1">
      <alignment vertical="center"/>
      <protection/>
    </xf>
    <xf numFmtId="3" fontId="39" fillId="3" borderId="12" xfId="52" applyNumberFormat="1" applyFont="1" applyFill="1" applyBorder="1" applyAlignment="1">
      <alignment vertical="center"/>
      <protection/>
    </xf>
    <xf numFmtId="3" fontId="23" fillId="3" borderId="0" xfId="53" applyNumberFormat="1" applyFont="1" applyFill="1" applyBorder="1" applyAlignment="1">
      <alignment vertical="center"/>
      <protection/>
    </xf>
    <xf numFmtId="0" fontId="23" fillId="3" borderId="0" xfId="53" applyFont="1" applyFill="1" applyBorder="1" applyAlignment="1">
      <alignment vertical="center"/>
      <protection/>
    </xf>
    <xf numFmtId="3" fontId="50" fillId="3" borderId="34" xfId="53" applyNumberFormat="1" applyFont="1" applyFill="1" applyBorder="1" applyAlignment="1">
      <alignment vertical="center"/>
      <protection/>
    </xf>
    <xf numFmtId="3" fontId="50" fillId="3" borderId="12" xfId="53" applyNumberFormat="1" applyFont="1" applyFill="1" applyBorder="1" applyAlignment="1">
      <alignment vertical="center"/>
      <protection/>
    </xf>
    <xf numFmtId="3" fontId="50" fillId="3" borderId="79" xfId="53" applyNumberFormat="1" applyFont="1" applyFill="1" applyBorder="1" applyAlignment="1">
      <alignment vertical="center"/>
      <protection/>
    </xf>
    <xf numFmtId="0" fontId="23" fillId="0" borderId="0" xfId="53" applyFont="1" applyFill="1" applyAlignment="1">
      <alignment vertical="center"/>
      <protection/>
    </xf>
    <xf numFmtId="0" fontId="40" fillId="0" borderId="95" xfId="52" applyFont="1" applyBorder="1" applyAlignment="1">
      <alignment horizontal="center" vertical="center"/>
      <protection/>
    </xf>
    <xf numFmtId="0" fontId="40" fillId="0" borderId="12" xfId="52" applyFont="1" applyFill="1" applyBorder="1" applyAlignment="1">
      <alignment vertical="center"/>
      <protection/>
    </xf>
    <xf numFmtId="205" fontId="40" fillId="0" borderId="12" xfId="52" applyNumberFormat="1" applyFont="1" applyFill="1" applyBorder="1" applyAlignment="1">
      <alignment vertical="center"/>
      <protection/>
    </xf>
    <xf numFmtId="0" fontId="40" fillId="0" borderId="76" xfId="52" applyFont="1" applyFill="1" applyBorder="1" applyAlignment="1">
      <alignment vertical="center"/>
      <protection/>
    </xf>
    <xf numFmtId="205" fontId="40" fillId="22" borderId="76" xfId="52" applyNumberFormat="1" applyFont="1" applyFill="1" applyBorder="1" applyAlignment="1">
      <alignment vertical="center"/>
      <protection/>
    </xf>
    <xf numFmtId="3" fontId="40" fillId="0" borderId="12" xfId="52" applyNumberFormat="1" applyFont="1" applyFill="1" applyBorder="1" applyAlignment="1">
      <alignment vertical="center"/>
      <protection/>
    </xf>
    <xf numFmtId="3" fontId="23" fillId="0" borderId="0" xfId="53" applyNumberFormat="1" applyFont="1" applyBorder="1" applyAlignment="1">
      <alignment vertical="center"/>
      <protection/>
    </xf>
    <xf numFmtId="0" fontId="23" fillId="0" borderId="0" xfId="53" applyFont="1" applyBorder="1" applyAlignment="1">
      <alignment vertical="center"/>
      <protection/>
    </xf>
    <xf numFmtId="3" fontId="23" fillId="0" borderId="34" xfId="53" applyNumberFormat="1" applyFont="1" applyFill="1" applyBorder="1" applyAlignment="1">
      <alignment vertical="center"/>
      <protection/>
    </xf>
    <xf numFmtId="3" fontId="23" fillId="0" borderId="12" xfId="53" applyNumberFormat="1" applyFont="1" applyFill="1" applyBorder="1" applyAlignment="1">
      <alignment vertical="center"/>
      <protection/>
    </xf>
    <xf numFmtId="3" fontId="23" fillId="0" borderId="79" xfId="53" applyNumberFormat="1" applyFont="1" applyFill="1" applyBorder="1" applyAlignment="1">
      <alignment vertical="center"/>
      <protection/>
    </xf>
    <xf numFmtId="0" fontId="34" fillId="0" borderId="95" xfId="52" applyFont="1" applyBorder="1" applyAlignment="1">
      <alignment horizontal="center" vertical="center"/>
      <protection/>
    </xf>
    <xf numFmtId="0" fontId="34" fillId="0" borderId="29" xfId="52" applyNumberFormat="1" applyFont="1" applyFill="1" applyBorder="1" applyAlignment="1">
      <alignment wrapText="1"/>
      <protection/>
    </xf>
    <xf numFmtId="0" fontId="34" fillId="0" borderId="28" xfId="52" applyFont="1" applyFill="1" applyBorder="1" applyAlignment="1">
      <alignment vertical="center"/>
      <protection/>
    </xf>
    <xf numFmtId="205" fontId="34" fillId="0" borderId="28" xfId="52" applyNumberFormat="1" applyFont="1" applyFill="1" applyBorder="1" applyAlignment="1">
      <alignment vertical="center"/>
      <protection/>
    </xf>
    <xf numFmtId="3" fontId="34" fillId="0" borderId="28" xfId="52" applyNumberFormat="1" applyFont="1" applyFill="1" applyBorder="1" applyAlignment="1">
      <alignment vertical="center"/>
      <protection/>
    </xf>
    <xf numFmtId="205" fontId="34" fillId="22" borderId="28" xfId="52" applyNumberFormat="1" applyFont="1" applyFill="1" applyBorder="1" applyAlignment="1">
      <alignment vertical="center"/>
      <protection/>
    </xf>
    <xf numFmtId="3" fontId="20" fillId="0" borderId="0" xfId="53" applyNumberFormat="1" applyFont="1" applyBorder="1" applyAlignment="1">
      <alignment vertical="center"/>
      <protection/>
    </xf>
    <xf numFmtId="0" fontId="20" fillId="0" borderId="0" xfId="53" applyFont="1" applyBorder="1" applyAlignment="1">
      <alignment vertical="center"/>
      <protection/>
    </xf>
    <xf numFmtId="3" fontId="20" fillId="0" borderId="12" xfId="53" applyNumberFormat="1" applyFont="1" applyFill="1" applyBorder="1" applyAlignment="1">
      <alignment vertical="center"/>
      <protection/>
    </xf>
    <xf numFmtId="3" fontId="20" fillId="0" borderId="28" xfId="53" applyNumberFormat="1" applyFont="1" applyFill="1" applyBorder="1" applyAlignment="1">
      <alignment vertical="center"/>
      <protection/>
    </xf>
    <xf numFmtId="3" fontId="20" fillId="0" borderId="29" xfId="53" applyNumberFormat="1" applyFont="1" applyFill="1" applyBorder="1" applyAlignment="1">
      <alignment vertical="center"/>
      <protection/>
    </xf>
    <xf numFmtId="3" fontId="20" fillId="0" borderId="100" xfId="53" applyNumberFormat="1" applyFont="1" applyFill="1" applyBorder="1" applyAlignment="1">
      <alignment vertical="center"/>
      <protection/>
    </xf>
    <xf numFmtId="0" fontId="20" fillId="0" borderId="0" xfId="53" applyFont="1" applyFill="1" applyAlignment="1">
      <alignment vertical="center"/>
      <protection/>
    </xf>
    <xf numFmtId="3" fontId="39" fillId="3" borderId="96" xfId="53" applyNumberFormat="1" applyFont="1" applyFill="1" applyBorder="1" applyAlignment="1">
      <alignment vertical="center"/>
      <protection/>
    </xf>
    <xf numFmtId="205" fontId="34" fillId="0" borderId="73" xfId="53" applyNumberFormat="1" applyFont="1" applyBorder="1" applyAlignment="1">
      <alignment vertical="center"/>
      <protection/>
    </xf>
    <xf numFmtId="0" fontId="43" fillId="0" borderId="91" xfId="53" applyFont="1" applyBorder="1" applyAlignment="1">
      <alignment horizontal="center" vertical="center"/>
      <protection/>
    </xf>
    <xf numFmtId="0" fontId="41" fillId="0" borderId="18" xfId="52" applyFont="1" applyFill="1" applyBorder="1" applyAlignment="1">
      <alignment vertical="center" wrapText="1"/>
      <protection/>
    </xf>
    <xf numFmtId="0" fontId="20" fillId="0" borderId="17" xfId="53" applyFont="1" applyFill="1" applyBorder="1" applyAlignment="1">
      <alignment horizontal="center" vertical="center" wrapText="1"/>
      <protection/>
    </xf>
    <xf numFmtId="3" fontId="34" fillId="0" borderId="12" xfId="53" applyNumberFormat="1" applyFont="1" applyFill="1" applyBorder="1" applyAlignment="1">
      <alignment vertical="center"/>
      <protection/>
    </xf>
    <xf numFmtId="3" fontId="34" fillId="0" borderId="34" xfId="53" applyNumberFormat="1" applyFont="1" applyFill="1" applyBorder="1" applyAlignment="1">
      <alignment vertical="center"/>
      <protection/>
    </xf>
    <xf numFmtId="3" fontId="34" fillId="0" borderId="79" xfId="53" applyNumberFormat="1" applyFont="1" applyFill="1" applyBorder="1" applyAlignment="1">
      <alignment vertical="center"/>
      <protection/>
    </xf>
    <xf numFmtId="0" fontId="40" fillId="3" borderId="12" xfId="53" applyFont="1" applyFill="1" applyBorder="1" applyAlignment="1">
      <alignment vertical="center"/>
      <protection/>
    </xf>
    <xf numFmtId="3" fontId="39" fillId="3" borderId="82" xfId="53" applyNumberFormat="1" applyFont="1" applyFill="1" applyBorder="1" applyAlignment="1">
      <alignment vertical="center"/>
      <protection/>
    </xf>
    <xf numFmtId="0" fontId="34" fillId="0" borderId="17" xfId="53" applyFont="1" applyFill="1" applyBorder="1" applyAlignment="1">
      <alignment horizontal="center" vertical="center"/>
      <protection/>
    </xf>
    <xf numFmtId="0" fontId="40" fillId="0" borderId="84" xfId="53" applyFont="1" applyFill="1" applyBorder="1" applyAlignment="1">
      <alignment horizontal="center" vertical="center"/>
      <protection/>
    </xf>
    <xf numFmtId="3" fontId="34" fillId="0" borderId="27" xfId="53" applyNumberFormat="1" applyFont="1" applyFill="1" applyBorder="1" applyAlignment="1">
      <alignment vertical="center"/>
      <protection/>
    </xf>
    <xf numFmtId="0" fontId="34" fillId="0" borderId="12" xfId="53" applyFont="1" applyFill="1" applyBorder="1" applyAlignment="1">
      <alignment vertical="center" wrapText="1"/>
      <protection/>
    </xf>
    <xf numFmtId="205" fontId="34" fillId="22" borderId="12" xfId="53" applyNumberFormat="1" applyFont="1" applyFill="1" applyBorder="1" applyAlignment="1">
      <alignment vertical="center"/>
      <protection/>
    </xf>
    <xf numFmtId="0" fontId="34" fillId="0" borderId="49" xfId="53" applyFont="1" applyBorder="1" applyAlignment="1">
      <alignment vertical="center"/>
      <protection/>
    </xf>
    <xf numFmtId="0" fontId="34" fillId="0" borderId="12" xfId="53" applyFont="1" applyFill="1" applyBorder="1" applyAlignment="1">
      <alignment vertical="center"/>
      <protection/>
    </xf>
    <xf numFmtId="0" fontId="41" fillId="0" borderId="12" xfId="53" applyFont="1" applyFill="1" applyBorder="1" applyAlignment="1">
      <alignment vertical="center" wrapText="1"/>
      <protection/>
    </xf>
    <xf numFmtId="0" fontId="34" fillId="0" borderId="12" xfId="53" applyFont="1" applyFill="1" applyBorder="1" applyAlignment="1">
      <alignment horizontal="center" vertical="center"/>
      <protection/>
    </xf>
    <xf numFmtId="0" fontId="40" fillId="0" borderId="76" xfId="53" applyFont="1" applyFill="1" applyBorder="1" applyAlignment="1">
      <alignment vertical="center"/>
      <protection/>
    </xf>
    <xf numFmtId="0" fontId="34" fillId="0" borderId="76" xfId="53" applyFont="1" applyFill="1" applyBorder="1" applyAlignment="1">
      <alignment horizontal="centerContinuous" vertical="center"/>
      <protection/>
    </xf>
    <xf numFmtId="205" fontId="34" fillId="0" borderId="76" xfId="53" applyNumberFormat="1" applyFont="1" applyFill="1" applyBorder="1" applyAlignment="1">
      <alignment horizontal="centerContinuous" vertical="center"/>
      <protection/>
    </xf>
    <xf numFmtId="205" fontId="34" fillId="0" borderId="76" xfId="53" applyNumberFormat="1" applyFont="1" applyFill="1" applyBorder="1" applyAlignment="1">
      <alignment horizontal="right" vertical="center"/>
      <protection/>
    </xf>
    <xf numFmtId="205" fontId="40" fillId="22" borderId="76" xfId="53" applyNumberFormat="1" applyFont="1" applyFill="1" applyBorder="1" applyAlignment="1">
      <alignment horizontal="right" vertical="center"/>
      <protection/>
    </xf>
    <xf numFmtId="3" fontId="40" fillId="0" borderId="96" xfId="53" applyNumberFormat="1" applyFont="1" applyFill="1" applyBorder="1" applyAlignment="1">
      <alignment vertical="center"/>
      <protection/>
    </xf>
    <xf numFmtId="0" fontId="34" fillId="0" borderId="17" xfId="53" applyFont="1" applyFill="1" applyBorder="1" applyAlignment="1">
      <alignment vertical="center"/>
      <protection/>
    </xf>
    <xf numFmtId="205" fontId="34" fillId="0" borderId="17" xfId="53" applyNumberFormat="1" applyFont="1" applyFill="1" applyBorder="1" applyAlignment="1">
      <alignment horizontal="right" vertical="center"/>
      <protection/>
    </xf>
    <xf numFmtId="0" fontId="34" fillId="0" borderId="95" xfId="53" applyFont="1" applyFill="1" applyBorder="1" applyAlignment="1">
      <alignment horizontal="center" vertical="center"/>
      <protection/>
    </xf>
    <xf numFmtId="0" fontId="40" fillId="0" borderId="17" xfId="53" applyFont="1" applyFill="1" applyBorder="1" applyAlignment="1">
      <alignment vertical="center" wrapText="1"/>
      <protection/>
    </xf>
    <xf numFmtId="205" fontId="40" fillId="22" borderId="63" xfId="53" applyNumberFormat="1" applyFont="1" applyFill="1" applyBorder="1" applyAlignment="1">
      <alignment vertical="center"/>
      <protection/>
    </xf>
    <xf numFmtId="3" fontId="34" fillId="0" borderId="63" xfId="53" applyNumberFormat="1" applyFont="1" applyFill="1" applyBorder="1" applyAlignment="1">
      <alignment vertical="center"/>
      <protection/>
    </xf>
    <xf numFmtId="3" fontId="34" fillId="0" borderId="96" xfId="53" applyNumberFormat="1" applyFont="1" applyFill="1" applyBorder="1" applyAlignment="1">
      <alignment vertical="center"/>
      <protection/>
    </xf>
    <xf numFmtId="0" fontId="34" fillId="0" borderId="72" xfId="53" applyFont="1" applyFill="1" applyBorder="1" applyAlignment="1">
      <alignment horizontal="center" vertical="center"/>
      <protection/>
    </xf>
    <xf numFmtId="0" fontId="34" fillId="0" borderId="25" xfId="53" applyFont="1" applyFill="1" applyBorder="1" applyAlignment="1">
      <alignment vertical="center"/>
      <protection/>
    </xf>
    <xf numFmtId="205" fontId="34" fillId="0" borderId="25" xfId="53" applyNumberFormat="1" applyFont="1" applyFill="1" applyBorder="1" applyAlignment="1">
      <alignment vertical="center"/>
      <protection/>
    </xf>
    <xf numFmtId="205" fontId="34" fillId="22" borderId="25" xfId="53" applyNumberFormat="1" applyFont="1" applyFill="1" applyBorder="1" applyAlignment="1">
      <alignment vertical="center"/>
      <protection/>
    </xf>
    <xf numFmtId="0" fontId="34" fillId="0" borderId="98" xfId="53" applyFont="1" applyFill="1" applyBorder="1" applyAlignment="1">
      <alignment horizontal="center" vertical="center"/>
      <protection/>
    </xf>
    <xf numFmtId="0" fontId="34" fillId="0" borderId="84" xfId="53" applyFont="1" applyFill="1" applyBorder="1" applyAlignment="1">
      <alignment horizontal="center" vertical="center"/>
      <protection/>
    </xf>
    <xf numFmtId="0" fontId="40" fillId="0" borderId="34" xfId="53" applyFont="1" applyFill="1" applyBorder="1" applyAlignment="1">
      <alignment vertical="center" wrapText="1"/>
      <protection/>
    </xf>
    <xf numFmtId="0" fontId="34" fillId="0" borderId="78" xfId="53" applyFont="1" applyFill="1" applyBorder="1" applyAlignment="1">
      <alignment vertical="center" wrapText="1"/>
      <protection/>
    </xf>
    <xf numFmtId="205" fontId="40" fillId="22" borderId="76" xfId="53" applyNumberFormat="1" applyFont="1" applyFill="1" applyBorder="1" applyAlignment="1">
      <alignment vertical="center"/>
      <protection/>
    </xf>
    <xf numFmtId="0" fontId="40" fillId="0" borderId="0" xfId="53" applyFont="1" applyBorder="1" applyAlignment="1">
      <alignment vertical="center"/>
      <protection/>
    </xf>
    <xf numFmtId="0" fontId="34" fillId="0" borderId="82" xfId="53" applyFont="1" applyFill="1" applyBorder="1" applyAlignment="1">
      <alignment vertical="center" wrapText="1"/>
      <protection/>
    </xf>
    <xf numFmtId="0" fontId="34" fillId="0" borderId="76" xfId="52" applyFont="1" applyFill="1" applyBorder="1" applyAlignment="1">
      <alignment vertical="center" wrapText="1"/>
      <protection/>
    </xf>
    <xf numFmtId="0" fontId="41" fillId="0" borderId="76" xfId="52" applyFont="1" applyFill="1" applyBorder="1" applyAlignment="1">
      <alignment vertical="center" wrapText="1"/>
      <protection/>
    </xf>
    <xf numFmtId="205" fontId="20" fillId="0" borderId="25" xfId="53" applyNumberFormat="1" applyFont="1" applyFill="1" applyBorder="1" applyAlignment="1">
      <alignment horizontal="center" vertical="center" wrapText="1"/>
      <protection/>
    </xf>
    <xf numFmtId="205" fontId="34" fillId="0" borderId="25" xfId="53" applyNumberFormat="1" applyFont="1" applyFill="1" applyBorder="1" applyAlignment="1">
      <alignment vertical="center"/>
      <protection/>
    </xf>
    <xf numFmtId="0" fontId="34" fillId="0" borderId="101" xfId="53" applyFont="1" applyFill="1" applyBorder="1" applyAlignment="1">
      <alignment vertical="center"/>
      <protection/>
    </xf>
    <xf numFmtId="0" fontId="40" fillId="3" borderId="102" xfId="53" applyFont="1" applyFill="1" applyBorder="1" applyAlignment="1">
      <alignment horizontal="center" vertical="center"/>
      <protection/>
    </xf>
    <xf numFmtId="0" fontId="34" fillId="3" borderId="76" xfId="53" applyFont="1" applyFill="1" applyBorder="1" applyAlignment="1">
      <alignment vertical="center"/>
      <protection/>
    </xf>
    <xf numFmtId="205" fontId="34" fillId="3" borderId="76" xfId="53" applyNumberFormat="1" applyFont="1" applyFill="1" applyBorder="1" applyAlignment="1">
      <alignment vertical="center"/>
      <protection/>
    </xf>
    <xf numFmtId="205" fontId="39" fillId="22" borderId="76" xfId="53" applyNumberFormat="1" applyFont="1" applyFill="1" applyBorder="1" applyAlignment="1">
      <alignment vertical="center"/>
      <protection/>
    </xf>
    <xf numFmtId="3" fontId="39" fillId="3" borderId="76" xfId="53" applyNumberFormat="1" applyFont="1" applyFill="1" applyBorder="1" applyAlignment="1">
      <alignment vertical="center"/>
      <protection/>
    </xf>
    <xf numFmtId="0" fontId="34" fillId="0" borderId="85" xfId="53" applyFont="1" applyFill="1" applyBorder="1" applyAlignment="1">
      <alignment horizontal="center" vertical="center"/>
      <protection/>
    </xf>
    <xf numFmtId="0" fontId="34" fillId="0" borderId="75" xfId="53" applyFont="1" applyFill="1" applyBorder="1" applyAlignment="1">
      <alignment vertical="center" wrapText="1"/>
      <protection/>
    </xf>
    <xf numFmtId="0" fontId="40" fillId="0" borderId="73" xfId="53" applyFont="1" applyBorder="1" applyAlignment="1">
      <alignment vertical="center"/>
      <protection/>
    </xf>
    <xf numFmtId="0" fontId="35" fillId="0" borderId="103" xfId="53" applyFont="1" applyFill="1" applyBorder="1" applyAlignment="1">
      <alignment horizontal="center" vertical="center"/>
      <protection/>
    </xf>
    <xf numFmtId="0" fontId="34" fillId="0" borderId="76" xfId="53" applyFont="1" applyFill="1" applyBorder="1" applyAlignment="1">
      <alignment vertical="center" wrapText="1"/>
      <protection/>
    </xf>
    <xf numFmtId="205" fontId="34" fillId="22" borderId="25" xfId="53" applyNumberFormat="1" applyFont="1" applyFill="1" applyBorder="1" applyAlignment="1">
      <alignment vertical="center"/>
      <protection/>
    </xf>
    <xf numFmtId="0" fontId="34" fillId="0" borderId="73" xfId="53" applyFont="1" applyBorder="1" applyAlignment="1">
      <alignment vertical="center"/>
      <protection/>
    </xf>
    <xf numFmtId="3" fontId="34" fillId="0" borderId="12" xfId="53" applyNumberFormat="1" applyFont="1" applyFill="1" applyBorder="1" applyAlignment="1">
      <alignment vertical="center"/>
      <protection/>
    </xf>
    <xf numFmtId="0" fontId="40" fillId="3" borderId="103" xfId="53" applyFont="1" applyFill="1" applyBorder="1" applyAlignment="1">
      <alignment horizontal="center" vertical="center"/>
      <protection/>
    </xf>
    <xf numFmtId="0" fontId="40" fillId="3" borderId="92" xfId="53" applyFont="1" applyFill="1" applyBorder="1" applyAlignment="1">
      <alignment vertical="center"/>
      <protection/>
    </xf>
    <xf numFmtId="0" fontId="40" fillId="3" borderId="63" xfId="53" applyFont="1" applyFill="1" applyBorder="1" applyAlignment="1">
      <alignment vertical="center"/>
      <protection/>
    </xf>
    <xf numFmtId="205" fontId="40" fillId="3" borderId="63" xfId="53" applyNumberFormat="1" applyFont="1" applyFill="1" applyBorder="1" applyAlignment="1">
      <alignment vertical="center"/>
      <protection/>
    </xf>
    <xf numFmtId="205" fontId="39" fillId="22" borderId="63" xfId="53" applyNumberFormat="1" applyFont="1" applyFill="1" applyBorder="1" applyAlignment="1">
      <alignment vertical="center"/>
      <protection/>
    </xf>
    <xf numFmtId="3" fontId="39" fillId="3" borderId="63" xfId="53" applyNumberFormat="1" applyFont="1" applyFill="1" applyBorder="1" applyAlignment="1">
      <alignment vertical="center"/>
      <protection/>
    </xf>
    <xf numFmtId="205" fontId="34" fillId="3" borderId="0" xfId="53" applyNumberFormat="1" applyFont="1" applyFill="1" applyBorder="1" applyAlignment="1">
      <alignment vertical="center"/>
      <protection/>
    </xf>
    <xf numFmtId="0" fontId="40" fillId="0" borderId="98" xfId="53" applyFont="1" applyBorder="1" applyAlignment="1">
      <alignment horizontal="center" vertical="center"/>
      <protection/>
    </xf>
    <xf numFmtId="0" fontId="40" fillId="0" borderId="12" xfId="53" applyFont="1" applyFill="1" applyBorder="1" applyAlignment="1">
      <alignment vertical="center"/>
      <protection/>
    </xf>
    <xf numFmtId="205" fontId="40" fillId="0" borderId="0" xfId="53" applyNumberFormat="1" applyFont="1" applyBorder="1" applyAlignment="1">
      <alignment vertical="center"/>
      <protection/>
    </xf>
    <xf numFmtId="0" fontId="40" fillId="0" borderId="0" xfId="53" applyFont="1" applyFill="1" applyAlignment="1">
      <alignment vertical="center"/>
      <protection/>
    </xf>
    <xf numFmtId="0" fontId="40" fillId="0" borderId="84" xfId="53" applyFont="1" applyBorder="1" applyAlignment="1">
      <alignment horizontal="center" vertical="center"/>
      <protection/>
    </xf>
    <xf numFmtId="0" fontId="34" fillId="0" borderId="17" xfId="53" applyFont="1" applyFill="1" applyBorder="1" applyAlignment="1">
      <alignment horizontal="left" vertical="center" wrapText="1"/>
      <protection/>
    </xf>
    <xf numFmtId="0" fontId="34" fillId="0" borderId="92" xfId="53" applyFont="1" applyFill="1" applyBorder="1" applyAlignment="1">
      <alignment horizontal="left" vertical="center" wrapText="1"/>
      <protection/>
    </xf>
    <xf numFmtId="0" fontId="34" fillId="0" borderId="63" xfId="53" applyFont="1" applyFill="1" applyBorder="1" applyAlignment="1">
      <alignment horizontal="center" vertical="center"/>
      <protection/>
    </xf>
    <xf numFmtId="3" fontId="34" fillId="0" borderId="63" xfId="53" applyNumberFormat="1" applyFont="1" applyFill="1" applyBorder="1" applyAlignment="1">
      <alignment vertical="center"/>
      <protection/>
    </xf>
    <xf numFmtId="0" fontId="34" fillId="0" borderId="102" xfId="53" applyFont="1" applyBorder="1" applyAlignment="1">
      <alignment horizontal="center" vertical="center"/>
      <protection/>
    </xf>
    <xf numFmtId="0" fontId="34" fillId="0" borderId="25" xfId="53" applyFont="1" applyFill="1" applyBorder="1" applyAlignment="1">
      <alignment horizontal="left" vertical="center" wrapText="1"/>
      <protection/>
    </xf>
    <xf numFmtId="3" fontId="34" fillId="0" borderId="74" xfId="53" applyNumberFormat="1" applyFont="1" applyFill="1" applyBorder="1" applyAlignment="1">
      <alignment vertical="center"/>
      <protection/>
    </xf>
    <xf numFmtId="205" fontId="34" fillId="3" borderId="12" xfId="53" applyNumberFormat="1" applyFont="1" applyFill="1" applyBorder="1" applyAlignment="1">
      <alignment horizontal="centerContinuous" vertical="center"/>
      <protection/>
    </xf>
    <xf numFmtId="205" fontId="39" fillId="22" borderId="12" xfId="53" applyNumberFormat="1" applyFont="1" applyFill="1" applyBorder="1" applyAlignment="1">
      <alignment horizontal="right" vertical="center"/>
      <protection/>
    </xf>
    <xf numFmtId="3" fontId="39" fillId="3" borderId="12" xfId="53" applyNumberFormat="1" applyFont="1" applyFill="1" applyBorder="1" applyAlignment="1">
      <alignment vertical="center"/>
      <protection/>
    </xf>
    <xf numFmtId="0" fontId="34" fillId="0" borderId="12" xfId="53" applyFont="1" applyFill="1" applyBorder="1" applyAlignment="1">
      <alignment horizontal="centerContinuous" vertical="center"/>
      <protection/>
    </xf>
    <xf numFmtId="205" fontId="34" fillId="0" borderId="12" xfId="53" applyNumberFormat="1" applyFont="1" applyFill="1" applyBorder="1" applyAlignment="1">
      <alignment horizontal="centerContinuous" vertical="center"/>
      <protection/>
    </xf>
    <xf numFmtId="205" fontId="34" fillId="0" borderId="17" xfId="53" applyNumberFormat="1" applyFont="1" applyFill="1" applyBorder="1" applyAlignment="1">
      <alignment horizontal="centerContinuous" vertical="center"/>
      <protection/>
    </xf>
    <xf numFmtId="0" fontId="38" fillId="0" borderId="0" xfId="52" applyFont="1" applyBorder="1" applyAlignment="1">
      <alignment vertical="center" wrapText="1"/>
      <protection/>
    </xf>
    <xf numFmtId="0" fontId="51" fillId="0" borderId="0" xfId="52" applyFont="1" applyBorder="1" applyAlignment="1">
      <alignment vertical="center" wrapText="1"/>
      <protection/>
    </xf>
    <xf numFmtId="0" fontId="37" fillId="0" borderId="0" xfId="53" applyFont="1" applyBorder="1" applyAlignment="1">
      <alignment vertical="center"/>
      <protection/>
    </xf>
    <xf numFmtId="0" fontId="34" fillId="0" borderId="0" xfId="52" applyFont="1" applyBorder="1" applyAlignment="1">
      <alignment vertical="center" wrapText="1"/>
      <protection/>
    </xf>
    <xf numFmtId="0" fontId="34" fillId="0" borderId="25" xfId="53" applyFont="1" applyFill="1" applyBorder="1" applyAlignment="1">
      <alignment vertical="center" wrapText="1"/>
      <protection/>
    </xf>
    <xf numFmtId="0" fontId="40" fillId="0" borderId="83" xfId="53" applyFont="1" applyFill="1" applyBorder="1" applyAlignment="1">
      <alignment horizontal="center" vertical="center"/>
      <protection/>
    </xf>
    <xf numFmtId="205" fontId="40" fillId="0" borderId="76" xfId="53" applyNumberFormat="1" applyFont="1" applyFill="1" applyBorder="1" applyAlignment="1">
      <alignment vertical="center"/>
      <protection/>
    </xf>
    <xf numFmtId="205" fontId="40" fillId="22" borderId="76" xfId="53" applyNumberFormat="1" applyFont="1" applyFill="1" applyBorder="1" applyAlignment="1">
      <alignment vertical="center"/>
      <protection/>
    </xf>
    <xf numFmtId="0" fontId="41" fillId="0" borderId="28" xfId="53" applyFont="1" applyFill="1" applyBorder="1" applyAlignment="1">
      <alignment vertical="center" wrapText="1"/>
      <protection/>
    </xf>
    <xf numFmtId="205" fontId="40" fillId="0" borderId="0" xfId="53" applyNumberFormat="1" applyFont="1" applyBorder="1" applyAlignment="1">
      <alignment vertical="center"/>
      <protection/>
    </xf>
    <xf numFmtId="0" fontId="40" fillId="0" borderId="0" xfId="53" applyFont="1" applyBorder="1" applyAlignment="1">
      <alignment vertical="center"/>
      <protection/>
    </xf>
    <xf numFmtId="3" fontId="34" fillId="0" borderId="71" xfId="53" applyNumberFormat="1" applyFont="1" applyFill="1" applyBorder="1" applyAlignment="1">
      <alignment vertical="center"/>
      <protection/>
    </xf>
    <xf numFmtId="0" fontId="40" fillId="0" borderId="0" xfId="53" applyFont="1" applyFill="1" applyAlignment="1">
      <alignment vertical="center"/>
      <protection/>
    </xf>
    <xf numFmtId="0" fontId="34" fillId="0" borderId="0" xfId="54" applyFont="1" applyBorder="1" applyAlignment="1">
      <alignment horizontal="left" vertical="center" wrapText="1"/>
      <protection/>
    </xf>
    <xf numFmtId="0" fontId="41" fillId="0" borderId="22" xfId="53" applyFont="1" applyFill="1" applyBorder="1" applyAlignment="1">
      <alignment vertical="center" wrapText="1"/>
      <protection/>
    </xf>
    <xf numFmtId="3" fontId="40" fillId="0" borderId="0" xfId="53" applyNumberFormat="1" applyFont="1" applyFill="1" applyAlignment="1">
      <alignment vertical="center"/>
      <protection/>
    </xf>
    <xf numFmtId="3" fontId="34" fillId="0" borderId="96" xfId="53" applyNumberFormat="1" applyFont="1" applyFill="1" applyBorder="1" applyAlignment="1">
      <alignment vertical="center"/>
      <protection/>
    </xf>
    <xf numFmtId="3" fontId="34" fillId="0" borderId="76" xfId="53" applyNumberFormat="1" applyFont="1" applyFill="1" applyBorder="1" applyAlignment="1">
      <alignment vertical="center"/>
      <protection/>
    </xf>
    <xf numFmtId="3" fontId="34" fillId="0" borderId="77" xfId="53" applyNumberFormat="1" applyFont="1" applyFill="1" applyBorder="1" applyAlignment="1">
      <alignment vertical="center"/>
      <protection/>
    </xf>
    <xf numFmtId="3" fontId="34" fillId="0" borderId="74" xfId="53" applyNumberFormat="1" applyFont="1" applyFill="1" applyBorder="1" applyAlignment="1">
      <alignment vertical="center"/>
      <protection/>
    </xf>
    <xf numFmtId="3" fontId="40" fillId="0" borderId="12" xfId="53" applyNumberFormat="1" applyFont="1" applyFill="1" applyBorder="1" applyAlignment="1">
      <alignment vertical="center"/>
      <protection/>
    </xf>
    <xf numFmtId="0" fontId="40" fillId="0" borderId="0" xfId="53" applyFont="1" applyFill="1" applyBorder="1" applyAlignment="1">
      <alignment vertical="center"/>
      <protection/>
    </xf>
    <xf numFmtId="3" fontId="40" fillId="0" borderId="34" xfId="53" applyNumberFormat="1" applyFont="1" applyFill="1" applyBorder="1" applyAlignment="1">
      <alignment vertical="center"/>
      <protection/>
    </xf>
    <xf numFmtId="3" fontId="34" fillId="0" borderId="87" xfId="53" applyNumberFormat="1" applyFont="1" applyFill="1" applyBorder="1" applyAlignment="1">
      <alignment vertical="center"/>
      <protection/>
    </xf>
    <xf numFmtId="205" fontId="34" fillId="22" borderId="22" xfId="53" applyNumberFormat="1" applyFont="1" applyFill="1" applyBorder="1" applyAlignment="1">
      <alignment vertical="center"/>
      <protection/>
    </xf>
    <xf numFmtId="3" fontId="34" fillId="0" borderId="93" xfId="53" applyNumberFormat="1" applyFont="1" applyFill="1" applyBorder="1" applyAlignment="1">
      <alignment vertical="center"/>
      <protection/>
    </xf>
    <xf numFmtId="0" fontId="34" fillId="0" borderId="22" xfId="53" applyFont="1" applyBorder="1" applyAlignment="1">
      <alignment horizontal="left" vertical="center" wrapText="1"/>
      <protection/>
    </xf>
    <xf numFmtId="0" fontId="34" fillId="0" borderId="28" xfId="53" applyFont="1" applyFill="1" applyBorder="1" applyAlignment="1">
      <alignment horizontal="center" vertical="center"/>
      <protection/>
    </xf>
    <xf numFmtId="205" fontId="34" fillId="0" borderId="28" xfId="53" applyNumberFormat="1" applyFont="1" applyFill="1" applyBorder="1" applyAlignment="1">
      <alignment vertical="center"/>
      <protection/>
    </xf>
    <xf numFmtId="205" fontId="34" fillId="22" borderId="28" xfId="53" applyNumberFormat="1" applyFont="1" applyFill="1" applyBorder="1" applyAlignment="1">
      <alignment vertical="center"/>
      <protection/>
    </xf>
    <xf numFmtId="205" fontId="34" fillId="0" borderId="29" xfId="53" applyNumberFormat="1" applyFont="1" applyFill="1" applyBorder="1" applyAlignment="1">
      <alignment vertical="center"/>
      <protection/>
    </xf>
    <xf numFmtId="205" fontId="34" fillId="0" borderId="104" xfId="53" applyNumberFormat="1" applyFont="1" applyFill="1" applyBorder="1" applyAlignment="1">
      <alignment vertical="center"/>
      <protection/>
    </xf>
    <xf numFmtId="0" fontId="34" fillId="0" borderId="17" xfId="53" applyFont="1" applyFill="1" applyBorder="1" applyAlignment="1">
      <alignment horizontal="center" vertical="center"/>
      <protection/>
    </xf>
    <xf numFmtId="205" fontId="34" fillId="0" borderId="18" xfId="53" applyNumberFormat="1" applyFont="1" applyFill="1" applyBorder="1" applyAlignment="1">
      <alignment vertical="center"/>
      <protection/>
    </xf>
    <xf numFmtId="205" fontId="34" fillId="0" borderId="86" xfId="53" applyNumberFormat="1" applyFont="1" applyFill="1" applyBorder="1" applyAlignment="1">
      <alignment vertical="center"/>
      <protection/>
    </xf>
    <xf numFmtId="205" fontId="40" fillId="22" borderId="17" xfId="53" applyNumberFormat="1" applyFont="1" applyFill="1" applyBorder="1" applyAlignment="1">
      <alignment vertical="center"/>
      <protection/>
    </xf>
    <xf numFmtId="3" fontId="40" fillId="0" borderId="87" xfId="53" applyNumberFormat="1" applyFont="1" applyFill="1" applyBorder="1" applyAlignment="1">
      <alignment vertical="center"/>
      <protection/>
    </xf>
    <xf numFmtId="0" fontId="36" fillId="0" borderId="84" xfId="53" applyFont="1" applyBorder="1" applyAlignment="1">
      <alignment horizontal="center" vertical="center"/>
      <protection/>
    </xf>
    <xf numFmtId="0" fontId="36" fillId="0" borderId="91" xfId="53" applyFont="1" applyBorder="1" applyAlignment="1">
      <alignment horizontal="center" vertical="center"/>
      <protection/>
    </xf>
    <xf numFmtId="0" fontId="43" fillId="0" borderId="91" xfId="53" applyFont="1" applyFill="1" applyBorder="1" applyAlignment="1">
      <alignment horizontal="center" vertical="center"/>
      <protection/>
    </xf>
    <xf numFmtId="0" fontId="36" fillId="0" borderId="84" xfId="53" applyFont="1" applyFill="1" applyBorder="1" applyAlignment="1">
      <alignment horizontal="center" vertical="center"/>
      <protection/>
    </xf>
    <xf numFmtId="0" fontId="34" fillId="0" borderId="17" xfId="52" applyFont="1" applyFill="1" applyBorder="1" applyAlignment="1">
      <alignment wrapText="1"/>
      <protection/>
    </xf>
    <xf numFmtId="205" fontId="20" fillId="0" borderId="22" xfId="53" applyNumberFormat="1" applyFont="1" applyFill="1" applyBorder="1" applyAlignment="1">
      <alignment vertical="center" wrapText="1"/>
      <protection/>
    </xf>
    <xf numFmtId="0" fontId="34" fillId="0" borderId="91" xfId="53" applyFont="1" applyBorder="1" applyAlignment="1">
      <alignment horizontal="center" vertical="center"/>
      <protection/>
    </xf>
    <xf numFmtId="0" fontId="40" fillId="3" borderId="105" xfId="53" applyFont="1" applyFill="1" applyBorder="1" applyAlignment="1">
      <alignment horizontal="center" vertical="center"/>
      <protection/>
    </xf>
    <xf numFmtId="0" fontId="34" fillId="3" borderId="82" xfId="53" applyFont="1" applyFill="1" applyBorder="1" applyAlignment="1">
      <alignment vertical="center"/>
      <protection/>
    </xf>
    <xf numFmtId="205" fontId="39" fillId="22" borderId="82" xfId="53" applyNumberFormat="1" applyFont="1" applyFill="1" applyBorder="1" applyAlignment="1">
      <alignment vertical="center"/>
      <protection/>
    </xf>
    <xf numFmtId="0" fontId="34" fillId="0" borderId="73" xfId="53" applyFont="1" applyFill="1" applyBorder="1" applyAlignment="1">
      <alignment vertical="center"/>
      <protection/>
    </xf>
    <xf numFmtId="0" fontId="34" fillId="0" borderId="103" xfId="53" applyFont="1" applyFill="1" applyBorder="1" applyAlignment="1">
      <alignment horizontal="center" vertical="center"/>
      <protection/>
    </xf>
    <xf numFmtId="0" fontId="34" fillId="0" borderId="76" xfId="53" applyFont="1" applyFill="1" applyBorder="1" applyAlignment="1">
      <alignment vertical="center" wrapText="1"/>
      <protection/>
    </xf>
    <xf numFmtId="205" fontId="34" fillId="0" borderId="76" xfId="53" applyNumberFormat="1" applyFont="1" applyFill="1" applyBorder="1" applyAlignment="1">
      <alignment vertical="center"/>
      <protection/>
    </xf>
    <xf numFmtId="205" fontId="34" fillId="22" borderId="76" xfId="53" applyNumberFormat="1" applyFont="1" applyFill="1" applyBorder="1" applyAlignment="1">
      <alignment vertical="center"/>
      <protection/>
    </xf>
    <xf numFmtId="0" fontId="34" fillId="0" borderId="73" xfId="53" applyFont="1" applyFill="1" applyBorder="1" applyAlignment="1">
      <alignment vertical="center"/>
      <protection/>
    </xf>
    <xf numFmtId="3" fontId="34" fillId="0" borderId="100" xfId="53" applyNumberFormat="1" applyFont="1" applyFill="1" applyBorder="1" applyAlignment="1">
      <alignment vertical="center"/>
      <protection/>
    </xf>
    <xf numFmtId="49" fontId="34" fillId="0" borderId="28" xfId="53" applyNumberFormat="1" applyFont="1" applyFill="1" applyBorder="1" applyAlignment="1">
      <alignment vertical="center" wrapText="1"/>
      <protection/>
    </xf>
    <xf numFmtId="49" fontId="34" fillId="0" borderId="26" xfId="53" applyNumberFormat="1" applyFont="1" applyFill="1" applyBorder="1" applyAlignment="1">
      <alignment vertical="center" wrapText="1"/>
      <protection/>
    </xf>
    <xf numFmtId="0" fontId="43" fillId="0" borderId="91" xfId="53" applyFont="1" applyFill="1" applyBorder="1" applyAlignment="1">
      <alignment horizontal="center"/>
      <protection/>
    </xf>
    <xf numFmtId="0" fontId="34" fillId="0" borderId="0" xfId="53" applyFont="1" applyFill="1" applyBorder="1">
      <alignment/>
      <protection/>
    </xf>
    <xf numFmtId="3" fontId="34" fillId="0" borderId="27" xfId="53" applyNumberFormat="1" applyFont="1" applyFill="1" applyBorder="1">
      <alignment/>
      <protection/>
    </xf>
    <xf numFmtId="3" fontId="34" fillId="0" borderId="22" xfId="53" applyNumberFormat="1" applyFont="1" applyFill="1" applyBorder="1">
      <alignment/>
      <protection/>
    </xf>
    <xf numFmtId="3" fontId="34" fillId="0" borderId="23" xfId="53" applyNumberFormat="1" applyFont="1" applyFill="1" applyBorder="1">
      <alignment/>
      <protection/>
    </xf>
    <xf numFmtId="3" fontId="34" fillId="0" borderId="90" xfId="53" applyNumberFormat="1" applyFont="1" applyFill="1" applyBorder="1">
      <alignment/>
      <protection/>
    </xf>
    <xf numFmtId="0" fontId="43" fillId="0" borderId="106" xfId="53" applyFont="1" applyFill="1" applyBorder="1" applyAlignment="1">
      <alignment horizontal="center"/>
      <protection/>
    </xf>
    <xf numFmtId="0" fontId="34" fillId="0" borderId="107" xfId="53" applyFont="1" applyFill="1" applyBorder="1" applyAlignment="1">
      <alignment vertical="center" wrapText="1"/>
      <protection/>
    </xf>
    <xf numFmtId="0" fontId="34" fillId="0" borderId="107" xfId="53" applyFont="1" applyFill="1" applyBorder="1" applyAlignment="1">
      <alignment vertical="center"/>
      <protection/>
    </xf>
    <xf numFmtId="205" fontId="34" fillId="0" borderId="107" xfId="53" applyNumberFormat="1" applyFont="1" applyFill="1" applyBorder="1" applyAlignment="1">
      <alignment vertical="center"/>
      <protection/>
    </xf>
    <xf numFmtId="205" fontId="34" fillId="22" borderId="107" xfId="53" applyNumberFormat="1" applyFont="1" applyFill="1" applyBorder="1" applyAlignment="1">
      <alignment vertical="center"/>
      <protection/>
    </xf>
    <xf numFmtId="3" fontId="34" fillId="0" borderId="107" xfId="53" applyNumberFormat="1" applyFont="1" applyFill="1" applyBorder="1" applyAlignment="1">
      <alignment vertical="center"/>
      <protection/>
    </xf>
    <xf numFmtId="3" fontId="34" fillId="0" borderId="108" xfId="53" applyNumberFormat="1" applyFont="1" applyFill="1" applyBorder="1">
      <alignment/>
      <protection/>
    </xf>
    <xf numFmtId="3" fontId="34" fillId="0" borderId="107" xfId="53" applyNumberFormat="1" applyFont="1" applyFill="1" applyBorder="1">
      <alignment/>
      <protection/>
    </xf>
    <xf numFmtId="3" fontId="34" fillId="0" borderId="109" xfId="53" applyNumberFormat="1" applyFont="1" applyFill="1" applyBorder="1">
      <alignment/>
      <protection/>
    </xf>
    <xf numFmtId="0" fontId="43" fillId="0" borderId="0" xfId="53" applyFont="1" applyFill="1" applyBorder="1" applyAlignment="1">
      <alignment horizontal="center"/>
      <protection/>
    </xf>
    <xf numFmtId="205" fontId="34" fillId="22" borderId="0" xfId="53" applyNumberFormat="1" applyFont="1" applyFill="1" applyBorder="1" applyAlignment="1">
      <alignment vertical="center"/>
      <protection/>
    </xf>
    <xf numFmtId="3" fontId="34" fillId="0" borderId="0" xfId="53" applyNumberFormat="1" applyFont="1" applyFill="1" applyBorder="1">
      <alignment/>
      <protection/>
    </xf>
    <xf numFmtId="0" fontId="43" fillId="0" borderId="0" xfId="53" applyFont="1" applyBorder="1" applyAlignment="1">
      <alignment horizontal="center"/>
      <protection/>
    </xf>
    <xf numFmtId="0" fontId="34" fillId="0" borderId="0" xfId="55" applyFont="1" applyFill="1" applyBorder="1" applyAlignment="1">
      <alignment vertical="center"/>
      <protection/>
    </xf>
    <xf numFmtId="205" fontId="34" fillId="0" borderId="0" xfId="55" applyNumberFormat="1" applyFont="1" applyFill="1" applyBorder="1" applyAlignment="1">
      <alignment vertical="center"/>
      <protection/>
    </xf>
    <xf numFmtId="0" fontId="34" fillId="22" borderId="0" xfId="55" applyFont="1" applyFill="1" applyBorder="1" applyAlignment="1">
      <alignment vertical="center"/>
      <protection/>
    </xf>
    <xf numFmtId="0" fontId="41" fillId="0" borderId="0" xfId="53" applyFont="1" applyFill="1" applyBorder="1" applyAlignment="1">
      <alignment/>
      <protection/>
    </xf>
    <xf numFmtId="0" fontId="52" fillId="0" borderId="0" xfId="53" applyFont="1" applyFill="1">
      <alignment/>
      <protection/>
    </xf>
    <xf numFmtId="0" fontId="40" fillId="0" borderId="0" xfId="53" applyFont="1" applyBorder="1" applyAlignment="1">
      <alignment horizontal="center"/>
      <protection/>
    </xf>
    <xf numFmtId="0" fontId="40" fillId="0" borderId="0" xfId="53" applyFont="1" applyBorder="1" applyAlignment="1">
      <alignment/>
      <protection/>
    </xf>
    <xf numFmtId="0" fontId="34" fillId="0" borderId="0" xfId="53" applyFont="1" applyBorder="1" applyAlignment="1">
      <alignment/>
      <protection/>
    </xf>
    <xf numFmtId="0" fontId="34" fillId="0" borderId="0" xfId="53" applyFont="1" applyFill="1" applyBorder="1" applyAlignment="1">
      <alignment/>
      <protection/>
    </xf>
    <xf numFmtId="205" fontId="40" fillId="22" borderId="0" xfId="53" applyNumberFormat="1" applyFont="1" applyFill="1" applyBorder="1" applyAlignment="1">
      <alignment vertical="center"/>
      <protection/>
    </xf>
    <xf numFmtId="0" fontId="34" fillId="0" borderId="0" xfId="53" applyFont="1">
      <alignment/>
      <protection/>
    </xf>
    <xf numFmtId="3" fontId="34" fillId="0" borderId="0" xfId="53" applyNumberFormat="1" applyFont="1" applyFill="1">
      <alignment/>
      <protection/>
    </xf>
    <xf numFmtId="0" fontId="34" fillId="0" borderId="0" xfId="53" applyFont="1" applyAlignment="1">
      <alignment horizontal="center"/>
      <protection/>
    </xf>
    <xf numFmtId="0" fontId="34" fillId="0" borderId="0" xfId="53" applyFont="1" applyAlignment="1">
      <alignment vertical="center"/>
      <protection/>
    </xf>
    <xf numFmtId="205" fontId="34" fillId="0" borderId="0" xfId="53" applyNumberFormat="1" applyFont="1" applyAlignment="1">
      <alignment vertical="center"/>
      <protection/>
    </xf>
    <xf numFmtId="205" fontId="34" fillId="22" borderId="0" xfId="53" applyNumberFormat="1" applyFont="1" applyFill="1" applyAlignment="1">
      <alignment vertical="center"/>
      <protection/>
    </xf>
    <xf numFmtId="0" fontId="48" fillId="0" borderId="76" xfId="52" applyFont="1" applyFill="1" applyBorder="1" applyAlignment="1">
      <alignment vertical="center" wrapText="1"/>
      <protection/>
    </xf>
    <xf numFmtId="205" fontId="40" fillId="0" borderId="76" xfId="53" applyNumberFormat="1" applyFont="1" applyFill="1" applyBorder="1" applyAlignment="1">
      <alignment vertical="center"/>
      <protection/>
    </xf>
    <xf numFmtId="3" fontId="40" fillId="0" borderId="110" xfId="53" applyNumberFormat="1" applyFont="1" applyFill="1" applyBorder="1" applyAlignment="1">
      <alignment vertical="center"/>
      <protection/>
    </xf>
    <xf numFmtId="0" fontId="40" fillId="0" borderId="111" xfId="53" applyFont="1" applyFill="1" applyBorder="1" applyAlignment="1">
      <alignment horizontal="center" vertical="center"/>
      <protection/>
    </xf>
    <xf numFmtId="0" fontId="46" fillId="0" borderId="77" xfId="53" applyFont="1" applyFill="1" applyBorder="1" applyAlignment="1">
      <alignment vertical="center" wrapText="1"/>
      <protection/>
    </xf>
    <xf numFmtId="3" fontId="34" fillId="0" borderId="88" xfId="53" applyNumberFormat="1" applyFont="1" applyFill="1" applyBorder="1" applyAlignment="1">
      <alignment vertical="center"/>
      <protection/>
    </xf>
    <xf numFmtId="0" fontId="40" fillId="0" borderId="72" xfId="53" applyFont="1" applyFill="1" applyBorder="1" applyAlignment="1">
      <alignment horizontal="center" vertical="center"/>
      <protection/>
    </xf>
    <xf numFmtId="3" fontId="34" fillId="22" borderId="17" xfId="53" applyNumberFormat="1" applyFont="1" applyFill="1" applyBorder="1" applyAlignment="1">
      <alignment vertical="center"/>
      <protection/>
    </xf>
    <xf numFmtId="0" fontId="41" fillId="0" borderId="86" xfId="52" applyFont="1" applyBorder="1" applyAlignment="1">
      <alignment vertical="center" wrapText="1"/>
      <protection/>
    </xf>
    <xf numFmtId="0" fontId="41" fillId="0" borderId="86" xfId="53" applyFont="1" applyBorder="1" applyAlignment="1">
      <alignment vertical="center"/>
      <protection/>
    </xf>
    <xf numFmtId="0" fontId="53" fillId="0" borderId="0" xfId="0" applyFont="1" applyAlignment="1">
      <alignment horizontal="center" wrapText="1"/>
    </xf>
    <xf numFmtId="0" fontId="54" fillId="0" borderId="22" xfId="44" applyFont="1" applyFill="1" applyBorder="1" applyAlignment="1">
      <alignment horizontal="justify" vertical="top" wrapText="1"/>
    </xf>
    <xf numFmtId="0" fontId="28" fillId="0" borderId="22" xfId="0" applyFont="1" applyFill="1" applyBorder="1" applyAlignment="1">
      <alignment horizontal="justify" vertical="top" wrapText="1"/>
    </xf>
    <xf numFmtId="0" fontId="30" fillId="0" borderId="22" xfId="0" applyFont="1" applyFill="1" applyBorder="1" applyAlignment="1">
      <alignment horizontal="justify" vertical="top" wrapText="1"/>
    </xf>
    <xf numFmtId="0" fontId="54" fillId="0" borderId="22" xfId="44" applyFont="1" applyFill="1" applyBorder="1" applyAlignment="1">
      <alignment vertical="top" wrapText="1"/>
    </xf>
    <xf numFmtId="0" fontId="55" fillId="0" borderId="22" xfId="44" applyFont="1" applyFill="1" applyBorder="1" applyAlignment="1">
      <alignment horizontal="justify" vertical="top" wrapText="1"/>
    </xf>
    <xf numFmtId="0" fontId="55" fillId="0" borderId="22" xfId="44" applyFont="1" applyFill="1" applyBorder="1" applyAlignment="1">
      <alignment vertical="top" wrapText="1"/>
    </xf>
    <xf numFmtId="3" fontId="55" fillId="0" borderId="22" xfId="44" applyNumberFormat="1" applyFont="1" applyFill="1" applyBorder="1" applyAlignment="1">
      <alignment horizontal="right" vertical="top" wrapText="1"/>
    </xf>
    <xf numFmtId="0" fontId="30" fillId="0" borderId="57" xfId="0" applyFont="1" applyFill="1" applyBorder="1" applyAlignment="1">
      <alignment horizontal="justify" vertical="top" wrapText="1"/>
    </xf>
    <xf numFmtId="0" fontId="30" fillId="0" borderId="52" xfId="0" applyFont="1" applyFill="1" applyBorder="1" applyAlignment="1">
      <alignment horizontal="justify" vertical="top" wrapText="1"/>
    </xf>
    <xf numFmtId="0" fontId="30" fillId="0" borderId="53" xfId="0" applyFont="1" applyFill="1" applyBorder="1" applyAlignment="1">
      <alignment horizontal="justify" vertical="top" wrapText="1"/>
    </xf>
    <xf numFmtId="0" fontId="57" fillId="0" borderId="63" xfId="0" applyFont="1" applyFill="1" applyBorder="1" applyAlignment="1">
      <alignment horizontal="justify" vertical="top" wrapText="1"/>
    </xf>
    <xf numFmtId="0" fontId="57" fillId="0" borderId="17" xfId="0" applyFont="1" applyFill="1" applyBorder="1" applyAlignment="1">
      <alignment horizontal="justify" vertical="top" wrapText="1"/>
    </xf>
    <xf numFmtId="0" fontId="57" fillId="0" borderId="0" xfId="0" applyFont="1" applyFill="1" applyAlignment="1">
      <alignment horizontal="justify" vertical="top" wrapText="1"/>
    </xf>
    <xf numFmtId="0" fontId="57" fillId="0" borderId="0" xfId="0" applyFont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55" fillId="0" borderId="0" xfId="44" applyFont="1" applyAlignment="1">
      <alignment wrapText="1"/>
    </xf>
    <xf numFmtId="0" fontId="23" fillId="0" borderId="30" xfId="0" applyFont="1" applyFill="1" applyBorder="1" applyAlignment="1" applyProtection="1">
      <alignment vertical="center" wrapText="1"/>
      <protection locked="0"/>
    </xf>
    <xf numFmtId="0" fontId="23" fillId="0" borderId="14" xfId="0" applyFont="1" applyFill="1" applyBorder="1" applyAlignment="1" applyProtection="1">
      <alignment vertical="center" wrapText="1"/>
      <protection locked="0"/>
    </xf>
    <xf numFmtId="0" fontId="23" fillId="0" borderId="20" xfId="0" applyFont="1" applyFill="1" applyBorder="1" applyAlignment="1" applyProtection="1">
      <alignment vertical="center" wrapText="1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1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>
      <alignment vertical="center"/>
    </xf>
    <xf numFmtId="0" fontId="23" fillId="0" borderId="20" xfId="0" applyFont="1" applyBorder="1" applyAlignment="1" applyProtection="1">
      <alignment horizontal="center"/>
      <protection locked="0"/>
    </xf>
    <xf numFmtId="0" fontId="23" fillId="0" borderId="30" xfId="0" applyFont="1" applyBorder="1" applyAlignment="1" applyProtection="1">
      <alignment horizontal="center"/>
      <protection locked="0"/>
    </xf>
    <xf numFmtId="3" fontId="23" fillId="0" borderId="37" xfId="0" applyNumberFormat="1" applyFont="1" applyBorder="1" applyAlignment="1">
      <alignment vertical="center"/>
    </xf>
    <xf numFmtId="3" fontId="23" fillId="0" borderId="39" xfId="0" applyNumberFormat="1" applyFont="1" applyBorder="1" applyAlignment="1">
      <alignment vertical="center"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9" xfId="0" applyFont="1" applyBorder="1" applyAlignment="1" applyProtection="1">
      <alignment vertical="center"/>
      <protection locked="0"/>
    </xf>
    <xf numFmtId="0" fontId="23" fillId="0" borderId="37" xfId="0" applyFont="1" applyBorder="1" applyAlignment="1" applyProtection="1">
      <alignment vertical="center" wrapText="1"/>
      <protection locked="0"/>
    </xf>
    <xf numFmtId="0" fontId="23" fillId="0" borderId="39" xfId="0" applyFont="1" applyBorder="1" applyAlignment="1" applyProtection="1">
      <alignment vertical="center" wrapText="1"/>
      <protection locked="0"/>
    </xf>
    <xf numFmtId="0" fontId="23" fillId="0" borderId="35" xfId="0" applyFont="1" applyBorder="1" applyAlignment="1" applyProtection="1">
      <alignment vertical="center"/>
      <protection locked="0"/>
    </xf>
    <xf numFmtId="0" fontId="23" fillId="0" borderId="37" xfId="0" applyFont="1" applyBorder="1" applyAlignment="1" applyProtection="1">
      <alignment vertical="center"/>
      <protection locked="0"/>
    </xf>
    <xf numFmtId="0" fontId="23" fillId="0" borderId="39" xfId="0" applyFont="1" applyBorder="1" applyAlignment="1" applyProtection="1">
      <alignment vertical="center"/>
      <protection locked="0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3" fontId="23" fillId="0" borderId="14" xfId="0" applyNumberFormat="1" applyFont="1" applyBorder="1" applyAlignment="1" applyProtection="1">
      <alignment horizontal="center" vertical="center"/>
      <protection locked="0"/>
    </xf>
    <xf numFmtId="3" fontId="23" fillId="0" borderId="20" xfId="0" applyNumberFormat="1" applyFont="1" applyBorder="1" applyAlignment="1" applyProtection="1">
      <alignment horizontal="center" vertical="center"/>
      <protection locked="0"/>
    </xf>
    <xf numFmtId="3" fontId="23" fillId="0" borderId="30" xfId="0" applyNumberFormat="1" applyFont="1" applyBorder="1" applyAlignment="1" applyProtection="1">
      <alignment horizontal="center" vertical="center"/>
      <protection locked="0"/>
    </xf>
    <xf numFmtId="3" fontId="23" fillId="0" borderId="19" xfId="0" applyNumberFormat="1" applyFont="1" applyBorder="1" applyAlignment="1">
      <alignment vertical="center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35" xfId="0" applyFont="1" applyBorder="1" applyAlignment="1" applyProtection="1">
      <alignment vertical="center" wrapText="1"/>
      <protection locked="0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20" xfId="0" applyFont="1" applyBorder="1" applyAlignment="1" applyProtection="1">
      <alignment vertical="center" wrapText="1"/>
      <protection locked="0"/>
    </xf>
    <xf numFmtId="0" fontId="23" fillId="0" borderId="30" xfId="0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30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39" xfId="0" applyFont="1" applyBorder="1" applyAlignment="1" applyProtection="1">
      <alignment horizontal="center" vertical="center" wrapText="1"/>
      <protection locked="0"/>
    </xf>
    <xf numFmtId="3" fontId="23" fillId="0" borderId="19" xfId="0" applyNumberFormat="1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5" xfId="0" applyFont="1" applyBorder="1" applyAlignment="1" applyProtection="1">
      <alignment horizontal="center"/>
      <protection locked="0"/>
    </xf>
    <xf numFmtId="0" fontId="23" fillId="0" borderId="37" xfId="0" applyFont="1" applyBorder="1" applyAlignment="1" applyProtection="1">
      <alignment horizontal="center"/>
      <protection locked="0"/>
    </xf>
    <xf numFmtId="0" fontId="23" fillId="0" borderId="39" xfId="0" applyFont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 vertical="center" wrapText="1"/>
      <protection locked="0"/>
    </xf>
    <xf numFmtId="3" fontId="23" fillId="0" borderId="37" xfId="0" applyNumberFormat="1" applyFont="1" applyBorder="1" applyAlignment="1" applyProtection="1">
      <alignment horizontal="center" vertical="center"/>
      <protection locked="0"/>
    </xf>
    <xf numFmtId="3" fontId="23" fillId="0" borderId="39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23" fillId="0" borderId="37" xfId="0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 wrapText="1"/>
      <protection locked="0"/>
    </xf>
    <xf numFmtId="0" fontId="23" fillId="0" borderId="37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3" fontId="2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3" fontId="2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3" fillId="0" borderId="113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114" xfId="0" applyFont="1" applyBorder="1" applyAlignment="1">
      <alignment horizontal="center" vertical="center"/>
    </xf>
    <xf numFmtId="0" fontId="23" fillId="0" borderId="115" xfId="0" applyFont="1" applyBorder="1" applyAlignment="1">
      <alignment horizontal="center" vertical="center"/>
    </xf>
    <xf numFmtId="0" fontId="23" fillId="0" borderId="116" xfId="0" applyFont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118" xfId="0" applyFont="1" applyBorder="1" applyAlignment="1">
      <alignment horizontal="center" vertical="center"/>
    </xf>
    <xf numFmtId="3" fontId="23" fillId="0" borderId="35" xfId="0" applyNumberFormat="1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23" fillId="0" borderId="39" xfId="0" applyFont="1" applyBorder="1" applyAlignment="1" applyProtection="1">
      <alignment horizontal="center" vertical="center"/>
      <protection locked="0"/>
    </xf>
    <xf numFmtId="0" fontId="23" fillId="0" borderId="39" xfId="0" applyFont="1" applyBorder="1" applyAlignment="1">
      <alignment horizontal="center" vertical="center"/>
    </xf>
    <xf numFmtId="0" fontId="24" fillId="0" borderId="35" xfId="0" applyFont="1" applyBorder="1" applyAlignment="1" applyProtection="1">
      <alignment vertical="center" wrapText="1"/>
      <protection locked="0"/>
    </xf>
    <xf numFmtId="0" fontId="24" fillId="0" borderId="37" xfId="0" applyFont="1" applyBorder="1" applyAlignment="1" applyProtection="1">
      <alignment vertical="center" wrapText="1"/>
      <protection locked="0"/>
    </xf>
    <xf numFmtId="0" fontId="24" fillId="0" borderId="39" xfId="0" applyFont="1" applyBorder="1" applyAlignment="1" applyProtection="1">
      <alignment vertical="center" wrapText="1"/>
      <protection locked="0"/>
    </xf>
    <xf numFmtId="0" fontId="23" fillId="0" borderId="10" xfId="0" applyFont="1" applyBorder="1" applyAlignment="1">
      <alignment vertical="center" wrapText="1"/>
    </xf>
    <xf numFmtId="0" fontId="22" fillId="0" borderId="73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49" xfId="0" applyBorder="1" applyAlignment="1">
      <alignment horizontal="center" vertical="center"/>
    </xf>
    <xf numFmtId="0" fontId="20" fillId="0" borderId="35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3" fontId="20" fillId="0" borderId="35" xfId="0" applyNumberFormat="1" applyFont="1" applyFill="1" applyBorder="1" applyAlignment="1">
      <alignment/>
    </xf>
    <xf numFmtId="0" fontId="20" fillId="0" borderId="37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19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20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0" fillId="0" borderId="35" xfId="0" applyFont="1" applyFill="1" applyBorder="1" applyAlignment="1" applyProtection="1">
      <alignment vertical="center" wrapText="1"/>
      <protection locked="0"/>
    </xf>
    <xf numFmtId="0" fontId="0" fillId="0" borderId="37" xfId="0" applyFont="1" applyFill="1" applyBorder="1" applyAlignment="1" applyProtection="1">
      <alignment vertical="center" wrapText="1"/>
      <protection locked="0"/>
    </xf>
    <xf numFmtId="0" fontId="0" fillId="0" borderId="39" xfId="0" applyFont="1" applyFill="1" applyBorder="1" applyAlignment="1" applyProtection="1">
      <alignment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7" xfId="0" applyFont="1" applyFill="1" applyBorder="1" applyAlignment="1" applyProtection="1">
      <alignment horizontal="center" vertical="center" wrapText="1"/>
      <protection locked="0"/>
    </xf>
    <xf numFmtId="0" fontId="20" fillId="0" borderId="39" xfId="0" applyFont="1" applyFill="1" applyBorder="1" applyAlignment="1" applyProtection="1">
      <alignment horizontal="center" vertical="center" wrapText="1"/>
      <protection locked="0"/>
    </xf>
    <xf numFmtId="0" fontId="20" fillId="0" borderId="37" xfId="0" applyFont="1" applyFill="1" applyBorder="1" applyAlignment="1" applyProtection="1">
      <alignment vertical="center" wrapText="1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35" xfId="0" applyFont="1" applyFill="1" applyBorder="1" applyAlignment="1">
      <alignment vertical="center" wrapText="1"/>
    </xf>
    <xf numFmtId="0" fontId="20" fillId="0" borderId="37" xfId="0" applyFont="1" applyFill="1" applyBorder="1" applyAlignment="1">
      <alignment vertical="center" wrapText="1"/>
    </xf>
    <xf numFmtId="0" fontId="20" fillId="0" borderId="39" xfId="0" applyFont="1" applyFill="1" applyBorder="1" applyAlignment="1">
      <alignment vertical="center" wrapText="1"/>
    </xf>
    <xf numFmtId="0" fontId="20" fillId="0" borderId="35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49" fontId="20" fillId="0" borderId="35" xfId="0" applyNumberFormat="1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49" fontId="20" fillId="0" borderId="39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 applyProtection="1">
      <alignment horizontal="center"/>
      <protection locked="0"/>
    </xf>
    <xf numFmtId="0" fontId="22" fillId="0" borderId="73" xfId="0" applyFont="1" applyFill="1" applyBorder="1" applyAlignment="1">
      <alignment vertical="top" wrapText="1"/>
    </xf>
    <xf numFmtId="0" fontId="23" fillId="0" borderId="33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11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/>
    </xf>
    <xf numFmtId="0" fontId="22" fillId="0" borderId="112" xfId="0" applyFont="1" applyFill="1" applyBorder="1" applyAlignment="1">
      <alignment horizontal="center"/>
    </xf>
    <xf numFmtId="0" fontId="20" fillId="0" borderId="119" xfId="54" applyBorder="1" applyAlignment="1">
      <alignment horizontal="center" wrapText="1"/>
      <protection/>
    </xf>
    <xf numFmtId="0" fontId="20" fillId="0" borderId="120" xfId="54" applyBorder="1" applyAlignment="1">
      <alignment horizontal="center" wrapText="1"/>
      <protection/>
    </xf>
    <xf numFmtId="0" fontId="20" fillId="0" borderId="121" xfId="54" applyBorder="1" applyAlignment="1">
      <alignment horizontal="center" wrapText="1"/>
      <protection/>
    </xf>
    <xf numFmtId="0" fontId="20" fillId="0" borderId="122" xfId="54" applyBorder="1" applyAlignment="1">
      <alignment horizontal="center" wrapText="1"/>
      <protection/>
    </xf>
    <xf numFmtId="0" fontId="36" fillId="0" borderId="0" xfId="53" applyFont="1" applyAlignment="1">
      <alignment horizontal="center" vertical="center" wrapText="1"/>
      <protection/>
    </xf>
    <xf numFmtId="0" fontId="20" fillId="0" borderId="0" xfId="54" applyAlignment="1">
      <alignment/>
      <protection/>
    </xf>
    <xf numFmtId="0" fontId="36" fillId="22" borderId="102" xfId="53" applyFont="1" applyFill="1" applyBorder="1" applyAlignment="1">
      <alignment horizontal="left" vertical="center"/>
      <protection/>
    </xf>
    <xf numFmtId="0" fontId="22" fillId="22" borderId="73" xfId="54" applyFont="1" applyFill="1" applyBorder="1" applyAlignment="1">
      <alignment horizontal="left" vertical="center"/>
      <protection/>
    </xf>
    <xf numFmtId="205" fontId="38" fillId="0" borderId="123" xfId="53" applyNumberFormat="1" applyFont="1" applyFill="1" applyBorder="1" applyAlignment="1">
      <alignment horizontal="center" vertical="center" wrapText="1"/>
      <protection/>
    </xf>
    <xf numFmtId="205" fontId="38" fillId="0" borderId="17" xfId="53" applyNumberFormat="1" applyFont="1" applyFill="1" applyBorder="1" applyAlignment="1">
      <alignment horizontal="center" vertical="center" wrapText="1"/>
      <protection/>
    </xf>
    <xf numFmtId="205" fontId="34" fillId="0" borderId="123" xfId="53" applyNumberFormat="1" applyFont="1" applyBorder="1" applyAlignment="1">
      <alignment horizontal="center" vertical="center" wrapText="1"/>
      <protection/>
    </xf>
    <xf numFmtId="205" fontId="34" fillId="0" borderId="17" xfId="53" applyNumberFormat="1" applyFont="1" applyBorder="1" applyAlignment="1">
      <alignment horizontal="center" vertical="center"/>
      <protection/>
    </xf>
    <xf numFmtId="0" fontId="34" fillId="0" borderId="123" xfId="53" applyFont="1" applyBorder="1" applyAlignment="1">
      <alignment horizontal="center" vertical="center" wrapText="1"/>
      <protection/>
    </xf>
    <xf numFmtId="0" fontId="34" fillId="0" borderId="17" xfId="53" applyFont="1" applyBorder="1" applyAlignment="1">
      <alignment horizontal="center" vertical="center"/>
      <protection/>
    </xf>
    <xf numFmtId="0" fontId="34" fillId="0" borderId="17" xfId="53" applyFont="1" applyBorder="1" applyAlignment="1">
      <alignment vertical="center"/>
      <protection/>
    </xf>
    <xf numFmtId="0" fontId="34" fillId="0" borderId="82" xfId="53" applyFont="1" applyBorder="1" applyAlignment="1">
      <alignment horizontal="center" vertical="center" wrapText="1"/>
      <protection/>
    </xf>
    <xf numFmtId="0" fontId="34" fillId="0" borderId="124" xfId="53" applyFont="1" applyBorder="1" applyAlignment="1">
      <alignment horizontal="center" vertical="center"/>
      <protection/>
    </xf>
    <xf numFmtId="0" fontId="34" fillId="0" borderId="83" xfId="53" applyFont="1" applyBorder="1" applyAlignment="1">
      <alignment horizontal="center" vertical="center"/>
      <protection/>
    </xf>
    <xf numFmtId="0" fontId="40" fillId="3" borderId="34" xfId="53" applyFont="1" applyFill="1" applyBorder="1" applyAlignment="1">
      <alignment vertical="center"/>
      <protection/>
    </xf>
    <xf numFmtId="0" fontId="40" fillId="3" borderId="49" xfId="53" applyFont="1" applyFill="1" applyBorder="1" applyAlignment="1">
      <alignment vertical="center"/>
      <protection/>
    </xf>
    <xf numFmtId="0" fontId="34" fillId="0" borderId="49" xfId="52" applyFont="1" applyBorder="1" applyAlignment="1">
      <alignment vertical="center"/>
      <protection/>
    </xf>
    <xf numFmtId="0" fontId="34" fillId="0" borderId="78" xfId="52" applyFont="1" applyBorder="1" applyAlignment="1">
      <alignment vertical="center"/>
      <protection/>
    </xf>
    <xf numFmtId="0" fontId="41" fillId="0" borderId="82" xfId="53" applyFont="1" applyFill="1" applyBorder="1" applyAlignment="1">
      <alignment horizontal="left" vertical="center" wrapText="1"/>
      <protection/>
    </xf>
    <xf numFmtId="0" fontId="41" fillId="0" borderId="63" xfId="53" applyFont="1" applyFill="1" applyBorder="1" applyAlignment="1">
      <alignment horizontal="left" vertical="center" wrapText="1"/>
      <protection/>
    </xf>
    <xf numFmtId="0" fontId="20" fillId="0" borderId="63" xfId="54" applyBorder="1" applyAlignment="1">
      <alignment horizontal="left" vertical="center" wrapText="1"/>
      <protection/>
    </xf>
    <xf numFmtId="0" fontId="20" fillId="0" borderId="76" xfId="54" applyBorder="1" applyAlignment="1">
      <alignment horizontal="left" vertical="center" wrapText="1"/>
      <protection/>
    </xf>
    <xf numFmtId="0" fontId="41" fillId="0" borderId="82" xfId="53" applyFont="1" applyFill="1" applyBorder="1" applyAlignment="1">
      <alignment vertical="center" wrapText="1"/>
      <protection/>
    </xf>
    <xf numFmtId="0" fontId="20" fillId="0" borderId="17" xfId="54" applyFill="1" applyBorder="1" applyAlignment="1">
      <alignment vertical="center" wrapText="1"/>
      <protection/>
    </xf>
    <xf numFmtId="0" fontId="40" fillId="0" borderId="34" xfId="52" applyFont="1" applyFill="1" applyBorder="1" applyAlignment="1">
      <alignment wrapText="1"/>
      <protection/>
    </xf>
    <xf numFmtId="0" fontId="40" fillId="0" borderId="78" xfId="52" applyFont="1" applyFill="1" applyBorder="1" applyAlignment="1">
      <alignment wrapText="1"/>
      <protection/>
    </xf>
    <xf numFmtId="0" fontId="34" fillId="0" borderId="26" xfId="53" applyFont="1" applyFill="1" applyBorder="1" applyAlignment="1">
      <alignment vertical="center" wrapText="1"/>
      <protection/>
    </xf>
    <xf numFmtId="0" fontId="20" fillId="0" borderId="63" xfId="54" applyBorder="1" applyAlignment="1">
      <alignment vertical="center" wrapText="1"/>
      <protection/>
    </xf>
    <xf numFmtId="0" fontId="20" fillId="0" borderId="17" xfId="54" applyBorder="1" applyAlignment="1">
      <alignment vertical="center" wrapText="1"/>
      <protection/>
    </xf>
    <xf numFmtId="0" fontId="20" fillId="0" borderId="26" xfId="54" applyBorder="1" applyAlignment="1">
      <alignment vertical="center" wrapText="1"/>
      <protection/>
    </xf>
    <xf numFmtId="0" fontId="20" fillId="0" borderId="76" xfId="54" applyBorder="1" applyAlignment="1">
      <alignment vertical="center" wrapText="1"/>
      <protection/>
    </xf>
    <xf numFmtId="0" fontId="40" fillId="0" borderId="34" xfId="53" applyFont="1" applyFill="1" applyBorder="1" applyAlignment="1">
      <alignment vertical="center"/>
      <protection/>
    </xf>
    <xf numFmtId="0" fontId="34" fillId="0" borderId="78" xfId="52" applyFont="1" applyFill="1" applyBorder="1" applyAlignment="1">
      <alignment vertical="center"/>
      <protection/>
    </xf>
    <xf numFmtId="0" fontId="41" fillId="0" borderId="76" xfId="53" applyFont="1" applyFill="1" applyBorder="1" applyAlignment="1">
      <alignment vertical="center" wrapText="1"/>
      <protection/>
    </xf>
    <xf numFmtId="0" fontId="40" fillId="0" borderId="12" xfId="53" applyFont="1" applyFill="1" applyBorder="1" applyAlignment="1">
      <alignment vertical="center"/>
      <protection/>
    </xf>
    <xf numFmtId="0" fontId="34" fillId="0" borderId="26" xfId="52" applyFont="1" applyFill="1" applyBorder="1" applyAlignment="1">
      <alignment vertical="center" wrapText="1"/>
      <protection/>
    </xf>
    <xf numFmtId="0" fontId="34" fillId="0" borderId="63" xfId="52" applyFont="1" applyFill="1" applyBorder="1" applyAlignment="1">
      <alignment vertical="center" wrapText="1"/>
      <protection/>
    </xf>
    <xf numFmtId="0" fontId="34" fillId="0" borderId="17" xfId="52" applyFont="1" applyFill="1" applyBorder="1" applyAlignment="1">
      <alignment vertical="center" wrapText="1"/>
      <protection/>
    </xf>
    <xf numFmtId="0" fontId="34" fillId="0" borderId="63" xfId="53" applyFont="1" applyFill="1" applyBorder="1" applyAlignment="1">
      <alignment vertical="center" wrapText="1"/>
      <protection/>
    </xf>
    <xf numFmtId="0" fontId="34" fillId="0" borderId="17" xfId="53" applyFont="1" applyFill="1" applyBorder="1" applyAlignment="1">
      <alignment vertical="center" wrapText="1"/>
      <protection/>
    </xf>
    <xf numFmtId="0" fontId="34" fillId="3" borderId="78" xfId="52" applyFont="1" applyFill="1" applyBorder="1" applyAlignment="1">
      <alignment vertical="center"/>
      <protection/>
    </xf>
    <xf numFmtId="0" fontId="40" fillId="0" borderId="76" xfId="53" applyFont="1" applyFill="1" applyBorder="1" applyAlignment="1">
      <alignment vertical="center"/>
      <protection/>
    </xf>
    <xf numFmtId="0" fontId="41" fillId="0" borderId="63" xfId="53" applyFont="1" applyFill="1" applyBorder="1" applyAlignment="1">
      <alignment vertical="center" wrapText="1"/>
      <protection/>
    </xf>
    <xf numFmtId="0" fontId="41" fillId="0" borderId="125" xfId="53" applyFont="1" applyFill="1" applyBorder="1" applyAlignment="1">
      <alignment vertical="center" wrapText="1"/>
      <protection/>
    </xf>
    <xf numFmtId="0" fontId="40" fillId="0" borderId="34" xfId="53" applyFont="1" applyFill="1" applyBorder="1" applyAlignment="1">
      <alignment horizontal="left" vertical="center" wrapText="1"/>
      <protection/>
    </xf>
    <xf numFmtId="0" fontId="40" fillId="0" borderId="49" xfId="53" applyFont="1" applyFill="1" applyBorder="1" applyAlignment="1">
      <alignment horizontal="left" vertical="center" wrapText="1"/>
      <protection/>
    </xf>
    <xf numFmtId="0" fontId="40" fillId="0" borderId="78" xfId="53" applyFont="1" applyFill="1" applyBorder="1" applyAlignment="1">
      <alignment horizontal="left" vertical="center" wrapText="1"/>
      <protection/>
    </xf>
    <xf numFmtId="0" fontId="40" fillId="3" borderId="96" xfId="53" applyFont="1" applyFill="1" applyBorder="1" applyAlignment="1">
      <alignment horizontal="left" vertical="center" wrapText="1"/>
      <protection/>
    </xf>
    <xf numFmtId="0" fontId="40" fillId="3" borderId="92" xfId="53" applyFont="1" applyFill="1" applyBorder="1" applyAlignment="1">
      <alignment horizontal="left" vertical="center" wrapText="1"/>
      <protection/>
    </xf>
    <xf numFmtId="0" fontId="40" fillId="3" borderId="82" xfId="53" applyFont="1" applyFill="1" applyBorder="1" applyAlignment="1">
      <alignment vertical="center" wrapText="1"/>
      <protection/>
    </xf>
    <xf numFmtId="0" fontId="34" fillId="0" borderId="17" xfId="53" applyFont="1" applyFill="1" applyBorder="1" applyAlignment="1">
      <alignment vertical="center" wrapText="1"/>
      <protection/>
    </xf>
    <xf numFmtId="0" fontId="41" fillId="0" borderId="26" xfId="53" applyFont="1" applyFill="1" applyBorder="1" applyAlignment="1">
      <alignment vertical="center" wrapText="1"/>
      <protection/>
    </xf>
    <xf numFmtId="0" fontId="41" fillId="0" borderId="17" xfId="53" applyFont="1" applyFill="1" applyBorder="1" applyAlignment="1">
      <alignment vertical="center" wrapText="1"/>
      <protection/>
    </xf>
    <xf numFmtId="0" fontId="34" fillId="0" borderId="26" xfId="53" applyFont="1" applyFill="1" applyBorder="1" applyAlignment="1">
      <alignment vertical="center" wrapText="1"/>
      <protection/>
    </xf>
    <xf numFmtId="0" fontId="34" fillId="0" borderId="17" xfId="52" applyFont="1" applyBorder="1">
      <alignment/>
      <protection/>
    </xf>
    <xf numFmtId="0" fontId="36" fillId="25" borderId="80" xfId="53" applyFont="1" applyFill="1" applyBorder="1" applyAlignment="1">
      <alignment horizontal="left" vertical="center"/>
      <protection/>
    </xf>
    <xf numFmtId="0" fontId="36" fillId="25" borderId="49" xfId="53" applyFont="1" applyFill="1" applyBorder="1" applyAlignment="1">
      <alignment horizontal="left" vertical="center"/>
      <protection/>
    </xf>
    <xf numFmtId="0" fontId="34" fillId="25" borderId="49" xfId="52" applyFont="1" applyFill="1" applyBorder="1" applyAlignment="1">
      <alignment horizontal="left" vertical="center"/>
      <protection/>
    </xf>
    <xf numFmtId="0" fontId="40" fillId="0" borderId="89" xfId="53" applyFont="1" applyBorder="1" applyAlignment="1">
      <alignment horizontal="center" vertical="center"/>
      <protection/>
    </xf>
    <xf numFmtId="0" fontId="40" fillId="0" borderId="83" xfId="53" applyFont="1" applyBorder="1" applyAlignment="1">
      <alignment horizontal="center" vertical="center"/>
      <protection/>
    </xf>
    <xf numFmtId="0" fontId="40" fillId="0" borderId="49" xfId="53" applyFont="1" applyFill="1" applyBorder="1" applyAlignment="1">
      <alignment vertical="center"/>
      <protection/>
    </xf>
    <xf numFmtId="0" fontId="40" fillId="0" borderId="78" xfId="53" applyFont="1" applyFill="1" applyBorder="1" applyAlignment="1">
      <alignment vertical="center"/>
      <protection/>
    </xf>
    <xf numFmtId="3" fontId="34" fillId="0" borderId="100" xfId="53" applyNumberFormat="1" applyFont="1" applyFill="1" applyBorder="1" applyAlignment="1">
      <alignment vertical="center"/>
      <protection/>
    </xf>
    <xf numFmtId="0" fontId="20" fillId="0" borderId="74" xfId="54" applyBorder="1" applyAlignment="1">
      <alignment vertical="center"/>
      <protection/>
    </xf>
    <xf numFmtId="0" fontId="40" fillId="0" borderId="34" xfId="53" applyFont="1" applyFill="1" applyBorder="1" applyAlignment="1">
      <alignment vertical="center" wrapText="1"/>
      <protection/>
    </xf>
    <xf numFmtId="0" fontId="20" fillId="0" borderId="78" xfId="54" applyBorder="1" applyAlignment="1">
      <alignment vertical="center"/>
      <protection/>
    </xf>
    <xf numFmtId="0" fontId="20" fillId="0" borderId="49" xfId="54" applyBorder="1" applyAlignment="1">
      <alignment vertical="center"/>
      <protection/>
    </xf>
    <xf numFmtId="0" fontId="40" fillId="3" borderId="34" xfId="53" applyFont="1" applyFill="1" applyBorder="1" applyAlignment="1">
      <alignment horizontal="left" vertical="center" wrapText="1"/>
      <protection/>
    </xf>
    <xf numFmtId="0" fontId="40" fillId="3" borderId="75" xfId="53" applyFont="1" applyFill="1" applyBorder="1" applyAlignment="1">
      <alignment horizontal="left" vertical="center" wrapText="1"/>
      <protection/>
    </xf>
    <xf numFmtId="205" fontId="34" fillId="0" borderId="26" xfId="53" applyNumberFormat="1" applyFont="1" applyFill="1" applyBorder="1" applyAlignment="1">
      <alignment vertical="center"/>
      <protection/>
    </xf>
    <xf numFmtId="205" fontId="34" fillId="0" borderId="17" xfId="53" applyNumberFormat="1" applyFont="1" applyFill="1" applyBorder="1" applyAlignment="1">
      <alignment vertical="center"/>
      <protection/>
    </xf>
    <xf numFmtId="0" fontId="41" fillId="0" borderId="50" xfId="53" applyFont="1" applyFill="1" applyBorder="1" applyAlignment="1">
      <alignment vertical="center" wrapText="1"/>
      <protection/>
    </xf>
    <xf numFmtId="0" fontId="41" fillId="0" borderId="0" xfId="53" applyFont="1" applyFill="1" applyBorder="1" applyAlignment="1">
      <alignment vertical="center" wrapText="1"/>
      <protection/>
    </xf>
    <xf numFmtId="0" fontId="20" fillId="0" borderId="73" xfId="54" applyBorder="1" applyAlignment="1">
      <alignment vertical="center" wrapText="1"/>
      <protection/>
    </xf>
    <xf numFmtId="0" fontId="34" fillId="0" borderId="17" xfId="53" applyFont="1" applyFill="1" applyBorder="1" applyAlignment="1">
      <alignment vertical="center"/>
      <protection/>
    </xf>
    <xf numFmtId="0" fontId="41" fillId="0" borderId="82" xfId="53" applyFont="1" applyFill="1" applyBorder="1" applyAlignment="1">
      <alignment vertical="center"/>
      <protection/>
    </xf>
    <xf numFmtId="0" fontId="20" fillId="0" borderId="63" xfId="54" applyBorder="1" applyAlignment="1">
      <alignment vertical="center"/>
      <protection/>
    </xf>
    <xf numFmtId="0" fontId="20" fillId="0" borderId="17" xfId="54" applyBorder="1" applyAlignment="1">
      <alignment vertical="center"/>
      <protection/>
    </xf>
    <xf numFmtId="0" fontId="34" fillId="0" borderId="82" xfId="52" applyFont="1" applyFill="1" applyBorder="1" applyAlignment="1">
      <alignment horizontal="left" vertical="center" wrapText="1"/>
      <protection/>
    </xf>
    <xf numFmtId="0" fontId="34" fillId="0" borderId="63" xfId="52" applyFont="1" applyFill="1" applyBorder="1" applyAlignment="1">
      <alignment horizontal="left" vertical="center" wrapText="1"/>
      <protection/>
    </xf>
    <xf numFmtId="0" fontId="34" fillId="0" borderId="17" xfId="52" applyFont="1" applyFill="1" applyBorder="1" applyAlignment="1">
      <alignment horizontal="left" vertical="center" wrapText="1"/>
      <protection/>
    </xf>
    <xf numFmtId="0" fontId="34" fillId="0" borderId="82" xfId="53" applyFont="1" applyFill="1" applyBorder="1" applyAlignment="1">
      <alignment horizontal="left" vertical="center" wrapText="1"/>
      <protection/>
    </xf>
    <xf numFmtId="0" fontId="20" fillId="0" borderId="63" xfId="54" applyBorder="1" applyAlignment="1">
      <alignment/>
      <protection/>
    </xf>
    <xf numFmtId="0" fontId="20" fillId="0" borderId="17" xfId="54" applyBorder="1" applyAlignment="1">
      <alignment/>
      <protection/>
    </xf>
    <xf numFmtId="0" fontId="34" fillId="0" borderId="26" xfId="52" applyFont="1" applyBorder="1" applyAlignment="1">
      <alignment horizontal="left" vertical="center" wrapText="1"/>
      <protection/>
    </xf>
    <xf numFmtId="0" fontId="34" fillId="0" borderId="63" xfId="52" applyFont="1" applyBorder="1" applyAlignment="1">
      <alignment horizontal="left" vertical="center" wrapText="1"/>
      <protection/>
    </xf>
    <xf numFmtId="3" fontId="34" fillId="0" borderId="82" xfId="53" applyNumberFormat="1" applyFont="1" applyFill="1" applyBorder="1" applyAlignment="1">
      <alignment vertical="center"/>
      <protection/>
    </xf>
    <xf numFmtId="3" fontId="20" fillId="0" borderId="76" xfId="54" applyNumberFormat="1" applyFill="1" applyBorder="1" applyAlignment="1">
      <alignment vertical="center"/>
      <protection/>
    </xf>
    <xf numFmtId="205" fontId="34" fillId="22" borderId="26" xfId="53" applyNumberFormat="1" applyFont="1" applyFill="1" applyBorder="1" applyAlignment="1">
      <alignment vertical="center"/>
      <protection/>
    </xf>
    <xf numFmtId="205" fontId="34" fillId="22" borderId="17" xfId="53" applyNumberFormat="1" applyFont="1" applyFill="1" applyBorder="1" applyAlignment="1">
      <alignment vertical="center"/>
      <protection/>
    </xf>
    <xf numFmtId="3" fontId="20" fillId="0" borderId="76" xfId="54" applyNumberFormat="1" applyBorder="1" applyAlignment="1">
      <alignment vertical="center"/>
      <protection/>
    </xf>
    <xf numFmtId="3" fontId="34" fillId="0" borderId="27" xfId="53" applyNumberFormat="1" applyFont="1" applyFill="1" applyBorder="1" applyAlignment="1">
      <alignment vertical="center"/>
      <protection/>
    </xf>
    <xf numFmtId="3" fontId="34" fillId="0" borderId="18" xfId="53" applyNumberFormat="1" applyFont="1" applyFill="1" applyBorder="1" applyAlignment="1">
      <alignment vertical="center"/>
      <protection/>
    </xf>
    <xf numFmtId="0" fontId="38" fillId="0" borderId="0" xfId="53" applyFont="1" applyFill="1" applyBorder="1" applyAlignment="1">
      <alignment vertical="center" wrapText="1"/>
      <protection/>
    </xf>
    <xf numFmtId="0" fontId="38" fillId="0" borderId="0" xfId="52" applyFont="1" applyFill="1" applyBorder="1" applyAlignment="1">
      <alignment vertical="center" wrapText="1"/>
      <protection/>
    </xf>
    <xf numFmtId="3" fontId="34" fillId="0" borderId="26" xfId="53" applyNumberFormat="1" applyFont="1" applyFill="1" applyBorder="1" applyAlignment="1">
      <alignment vertical="center"/>
      <protection/>
    </xf>
    <xf numFmtId="3" fontId="34" fillId="0" borderId="17" xfId="53" applyNumberFormat="1" applyFont="1" applyFill="1" applyBorder="1" applyAlignment="1">
      <alignment vertical="center"/>
      <protection/>
    </xf>
    <xf numFmtId="0" fontId="34" fillId="0" borderId="82" xfId="53" applyFont="1" applyFill="1" applyBorder="1" applyAlignment="1">
      <alignment horizontal="center" vertical="center"/>
      <protection/>
    </xf>
    <xf numFmtId="0" fontId="34" fillId="0" borderId="76" xfId="53" applyFont="1" applyFill="1" applyBorder="1" applyAlignment="1">
      <alignment horizontal="center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7WPIwersja3list" xfId="52"/>
    <cellStyle name="Normalny_inwest03_05" xfId="53"/>
    <cellStyle name="Normalny_WPI 2011.4 pełne (1)" xfId="54"/>
    <cellStyle name="Normalny_WPIpaździernik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3.8515625" style="0" customWidth="1"/>
    <col min="2" max="2" width="52.421875" style="49" customWidth="1"/>
    <col min="3" max="3" width="12.57421875" style="49" customWidth="1"/>
    <col min="4" max="4" width="12.7109375" style="49" customWidth="1"/>
    <col min="5" max="5" width="12.140625" style="49" customWidth="1"/>
    <col min="6" max="6" width="12.28125" style="49" customWidth="1"/>
    <col min="7" max="7" width="13.421875" style="49" customWidth="1"/>
    <col min="8" max="14" width="12.57421875" style="49" customWidth="1"/>
    <col min="15" max="15" width="11.8515625" style="49" hidden="1" customWidth="1"/>
  </cols>
  <sheetData>
    <row r="1" spans="2:6" ht="12.75" customHeight="1">
      <c r="B1" s="147"/>
      <c r="F1" s="148" t="s">
        <v>239</v>
      </c>
    </row>
    <row r="2" spans="1:2" ht="31.5">
      <c r="A2" s="147"/>
      <c r="B2" s="701" t="s">
        <v>427</v>
      </c>
    </row>
    <row r="3" spans="1:2" ht="15">
      <c r="A3" s="149"/>
      <c r="B3" s="150"/>
    </row>
    <row r="4" spans="1:15" s="152" customFormat="1" ht="17.25" customHeight="1">
      <c r="A4" s="212" t="s">
        <v>168</v>
      </c>
      <c r="B4" s="197" t="s">
        <v>169</v>
      </c>
      <c r="C4" s="170" t="s">
        <v>170</v>
      </c>
      <c r="D4" s="170" t="s">
        <v>171</v>
      </c>
      <c r="E4" s="197" t="s">
        <v>219</v>
      </c>
      <c r="F4" s="170" t="s">
        <v>172</v>
      </c>
      <c r="G4" s="170" t="s">
        <v>173</v>
      </c>
      <c r="H4" s="170" t="s">
        <v>174</v>
      </c>
      <c r="I4" s="170" t="s">
        <v>220</v>
      </c>
      <c r="J4" s="170" t="s">
        <v>175</v>
      </c>
      <c r="K4" s="170" t="s">
        <v>176</v>
      </c>
      <c r="L4" s="170" t="s">
        <v>177</v>
      </c>
      <c r="M4" s="170" t="s">
        <v>221</v>
      </c>
      <c r="N4" s="170" t="s">
        <v>178</v>
      </c>
      <c r="O4" s="151"/>
    </row>
    <row r="5" spans="1:15" s="154" customFormat="1" ht="12.75">
      <c r="A5" s="177">
        <v>1</v>
      </c>
      <c r="B5" s="702" t="s">
        <v>419</v>
      </c>
      <c r="C5" s="198">
        <v>1086076917</v>
      </c>
      <c r="D5" s="198">
        <v>1154781831.6690001</v>
      </c>
      <c r="E5" s="198">
        <v>1100773226.927256</v>
      </c>
      <c r="F5" s="198">
        <v>1131229262.142953</v>
      </c>
      <c r="G5" s="198">
        <v>1147924031.3225648</v>
      </c>
      <c r="H5" s="198">
        <v>1172488737.8422635</v>
      </c>
      <c r="I5" s="198">
        <v>1199611883.6488433</v>
      </c>
      <c r="J5" s="198">
        <v>1229470866.8538556</v>
      </c>
      <c r="K5" s="198">
        <v>1264640773.7306643</v>
      </c>
      <c r="L5" s="198">
        <v>1300082205.5835013</v>
      </c>
      <c r="M5" s="198">
        <v>1336539463.4525893</v>
      </c>
      <c r="N5" s="198">
        <v>1373232672.3766553</v>
      </c>
      <c r="O5" s="153"/>
    </row>
    <row r="6" spans="1:15" s="154" customFormat="1" ht="13.5" customHeight="1">
      <c r="A6" s="177" t="s">
        <v>179</v>
      </c>
      <c r="B6" s="703" t="s">
        <v>180</v>
      </c>
      <c r="C6" s="199">
        <v>926718707</v>
      </c>
      <c r="D6" s="199">
        <v>951135800.669</v>
      </c>
      <c r="E6" s="199">
        <v>1009627061.927256</v>
      </c>
      <c r="F6" s="199">
        <v>1067729262.142953</v>
      </c>
      <c r="G6" s="199">
        <v>1114424031.3225648</v>
      </c>
      <c r="H6" s="199">
        <v>1148988737.8422635</v>
      </c>
      <c r="I6" s="199">
        <v>1184611883.6488433</v>
      </c>
      <c r="J6" s="199">
        <v>1219470866.8538556</v>
      </c>
      <c r="K6" s="199">
        <v>1254640773.7306643</v>
      </c>
      <c r="L6" s="199">
        <v>1290082205.5835013</v>
      </c>
      <c r="M6" s="199">
        <v>1326539463.4525893</v>
      </c>
      <c r="N6" s="199">
        <v>1363232672.3766553</v>
      </c>
      <c r="O6" s="153"/>
    </row>
    <row r="7" spans="1:15" s="157" customFormat="1" ht="13.5" customHeight="1">
      <c r="A7" s="163" t="s">
        <v>181</v>
      </c>
      <c r="B7" s="704" t="s">
        <v>182</v>
      </c>
      <c r="C7" s="200">
        <v>159358210</v>
      </c>
      <c r="D7" s="200">
        <v>203646031</v>
      </c>
      <c r="E7" s="200">
        <v>91146165</v>
      </c>
      <c r="F7" s="200">
        <v>63500000</v>
      </c>
      <c r="G7" s="200">
        <v>33500000</v>
      </c>
      <c r="H7" s="200">
        <v>23500000</v>
      </c>
      <c r="I7" s="200">
        <v>15000000</v>
      </c>
      <c r="J7" s="200">
        <v>10000000</v>
      </c>
      <c r="K7" s="200">
        <v>10000000</v>
      </c>
      <c r="L7" s="200">
        <v>10000000</v>
      </c>
      <c r="M7" s="200">
        <v>10000000</v>
      </c>
      <c r="N7" s="200">
        <v>10000000</v>
      </c>
      <c r="O7" s="156"/>
    </row>
    <row r="8" spans="1:15" s="157" customFormat="1" ht="13.5" customHeight="1">
      <c r="A8" s="163" t="s">
        <v>183</v>
      </c>
      <c r="B8" s="704" t="s">
        <v>184</v>
      </c>
      <c r="C8" s="200">
        <v>41475000</v>
      </c>
      <c r="D8" s="200">
        <v>60000000</v>
      </c>
      <c r="E8" s="200">
        <v>60000000</v>
      </c>
      <c r="F8" s="200">
        <v>60000000</v>
      </c>
      <c r="G8" s="200">
        <v>30000000</v>
      </c>
      <c r="H8" s="200">
        <v>20000000</v>
      </c>
      <c r="I8" s="200">
        <v>15000000</v>
      </c>
      <c r="J8" s="200">
        <v>10000000</v>
      </c>
      <c r="K8" s="200">
        <v>10000000</v>
      </c>
      <c r="L8" s="200">
        <v>10000000</v>
      </c>
      <c r="M8" s="200">
        <v>10000000</v>
      </c>
      <c r="N8" s="200">
        <v>10000000</v>
      </c>
      <c r="O8" s="156"/>
    </row>
    <row r="9" spans="1:15" s="154" customFormat="1" ht="25.5">
      <c r="A9" s="177">
        <v>2</v>
      </c>
      <c r="B9" s="705" t="s">
        <v>420</v>
      </c>
      <c r="C9" s="199">
        <v>922244671</v>
      </c>
      <c r="D9" s="199">
        <v>880000000</v>
      </c>
      <c r="E9" s="199">
        <v>890000000</v>
      </c>
      <c r="F9" s="199">
        <v>900000000</v>
      </c>
      <c r="G9" s="199">
        <v>924300000</v>
      </c>
      <c r="H9" s="199">
        <v>949256100</v>
      </c>
      <c r="I9" s="199">
        <v>974886014.7</v>
      </c>
      <c r="J9" s="199">
        <v>1001207937.0969001</v>
      </c>
      <c r="K9" s="199">
        <v>1028240552.39852</v>
      </c>
      <c r="L9" s="199">
        <v>1056003047.28628</v>
      </c>
      <c r="M9" s="199">
        <v>1084515128.43601</v>
      </c>
      <c r="N9" s="199">
        <v>1113797037.0064778</v>
      </c>
      <c r="O9" s="153"/>
    </row>
    <row r="10" spans="1:15" s="157" customFormat="1" ht="12.75">
      <c r="A10" s="163" t="s">
        <v>179</v>
      </c>
      <c r="B10" s="706" t="s">
        <v>240</v>
      </c>
      <c r="C10" s="201">
        <v>358886124</v>
      </c>
      <c r="D10" s="201">
        <v>362474985.24</v>
      </c>
      <c r="E10" s="201">
        <v>366099735.0924</v>
      </c>
      <c r="F10" s="201">
        <v>369760732.443324</v>
      </c>
      <c r="G10" s="201">
        <v>377155947.0921905</v>
      </c>
      <c r="H10" s="201">
        <v>384699066.0340343</v>
      </c>
      <c r="I10" s="201">
        <v>392393047.354715</v>
      </c>
      <c r="J10" s="201">
        <v>400240908.3018093</v>
      </c>
      <c r="K10" s="201">
        <v>408245726.4678455</v>
      </c>
      <c r="L10" s="201">
        <v>416410640.9972024</v>
      </c>
      <c r="M10" s="201">
        <v>424738853.8171465</v>
      </c>
      <c r="N10" s="201">
        <v>433233630.8934894</v>
      </c>
      <c r="O10" s="156"/>
    </row>
    <row r="11" spans="1:15" s="157" customFormat="1" ht="12.75">
      <c r="A11" s="163" t="s">
        <v>181</v>
      </c>
      <c r="B11" s="706" t="s">
        <v>241</v>
      </c>
      <c r="C11" s="201">
        <v>60747796</v>
      </c>
      <c r="D11" s="201">
        <v>61355273.96</v>
      </c>
      <c r="E11" s="201">
        <v>61968826.6996</v>
      </c>
      <c r="F11" s="201">
        <v>62588514.96659601</v>
      </c>
      <c r="G11" s="201">
        <v>63214400.11626197</v>
      </c>
      <c r="H11" s="201">
        <v>63846544.117424585</v>
      </c>
      <c r="I11" s="201">
        <v>64485009.55859883</v>
      </c>
      <c r="J11" s="201">
        <v>65129859.65418482</v>
      </c>
      <c r="K11" s="201">
        <v>65781158.25072667</v>
      </c>
      <c r="L11" s="201">
        <v>66438969.83323394</v>
      </c>
      <c r="M11" s="201">
        <v>67103359.53156628</v>
      </c>
      <c r="N11" s="201">
        <v>67774393.12688194</v>
      </c>
      <c r="O11" s="156"/>
    </row>
    <row r="12" spans="1:15" s="157" customFormat="1" ht="13.5" customHeight="1">
      <c r="A12" s="163" t="s">
        <v>183</v>
      </c>
      <c r="B12" s="704" t="s">
        <v>185</v>
      </c>
      <c r="C12" s="201"/>
      <c r="D12" s="201"/>
      <c r="E12" s="201"/>
      <c r="F12" s="202"/>
      <c r="G12" s="201"/>
      <c r="H12" s="201"/>
      <c r="I12" s="201"/>
      <c r="J12" s="201"/>
      <c r="K12" s="201"/>
      <c r="L12" s="201"/>
      <c r="M12" s="201"/>
      <c r="N12" s="201"/>
      <c r="O12" s="156"/>
    </row>
    <row r="13" spans="1:15" s="157" customFormat="1" ht="29.25" customHeight="1">
      <c r="A13" s="163" t="s">
        <v>186</v>
      </c>
      <c r="B13" s="704" t="s">
        <v>421</v>
      </c>
      <c r="C13" s="201"/>
      <c r="D13" s="201"/>
      <c r="E13" s="201"/>
      <c r="F13" s="202"/>
      <c r="G13" s="201"/>
      <c r="H13" s="201"/>
      <c r="I13" s="201"/>
      <c r="J13" s="201"/>
      <c r="K13" s="201"/>
      <c r="L13" s="201"/>
      <c r="M13" s="201"/>
      <c r="N13" s="201"/>
      <c r="O13" s="156"/>
    </row>
    <row r="14" spans="1:15" s="157" customFormat="1" ht="25.5" customHeight="1">
      <c r="A14" s="163" t="s">
        <v>187</v>
      </c>
      <c r="B14" s="706" t="s">
        <v>242</v>
      </c>
      <c r="C14" s="201">
        <v>216071365</v>
      </c>
      <c r="D14" s="201">
        <v>226476643</v>
      </c>
      <c r="E14" s="201">
        <v>182743043</v>
      </c>
      <c r="F14" s="201">
        <v>171542946</v>
      </c>
      <c r="G14" s="201">
        <v>170438451</v>
      </c>
      <c r="H14" s="201">
        <v>172708219</v>
      </c>
      <c r="I14" s="201">
        <v>179617662</v>
      </c>
      <c r="J14" s="201">
        <v>186801051</v>
      </c>
      <c r="K14" s="201"/>
      <c r="L14" s="201"/>
      <c r="M14" s="201"/>
      <c r="N14" s="201"/>
      <c r="O14" s="156"/>
    </row>
    <row r="15" spans="1:15" s="157" customFormat="1" ht="24.75" customHeight="1">
      <c r="A15" s="163">
        <v>3</v>
      </c>
      <c r="B15" s="704" t="s">
        <v>188</v>
      </c>
      <c r="C15" s="200">
        <v>163832246</v>
      </c>
      <c r="D15" s="200">
        <v>274781831.66900015</v>
      </c>
      <c r="E15" s="200">
        <v>210773226.9272561</v>
      </c>
      <c r="F15" s="200">
        <v>231229262.14295292</v>
      </c>
      <c r="G15" s="200">
        <v>223624031.32256484</v>
      </c>
      <c r="H15" s="200">
        <v>223232637.84226346</v>
      </c>
      <c r="I15" s="200">
        <v>224725868.94884324</v>
      </c>
      <c r="J15" s="200">
        <v>228262929.7569555</v>
      </c>
      <c r="K15" s="200">
        <v>236400222.33214784</v>
      </c>
      <c r="L15" s="200">
        <v>244079159.297225</v>
      </c>
      <c r="M15" s="200">
        <v>252024334.91658354</v>
      </c>
      <c r="N15" s="200">
        <v>259435635.3701775</v>
      </c>
      <c r="O15" s="156"/>
    </row>
    <row r="16" spans="1:15" s="157" customFormat="1" ht="27.75" customHeight="1">
      <c r="A16" s="163">
        <v>4</v>
      </c>
      <c r="B16" s="704" t="s">
        <v>189</v>
      </c>
      <c r="C16" s="201">
        <v>88834751</v>
      </c>
      <c r="D16" s="201">
        <v>10300165</v>
      </c>
      <c r="E16" s="201">
        <v>5348453.709000111</v>
      </c>
      <c r="F16" s="201">
        <v>44660.036256194115</v>
      </c>
      <c r="G16" s="201">
        <v>9123303.769209266</v>
      </c>
      <c r="H16" s="201">
        <v>10714676.131773949</v>
      </c>
      <c r="I16" s="201">
        <v>8089931.604037523</v>
      </c>
      <c r="J16" s="201">
        <v>5293033.102880716</v>
      </c>
      <c r="K16" s="201">
        <v>4320075.429836273</v>
      </c>
      <c r="L16" s="201">
        <v>951526.3119840622</v>
      </c>
      <c r="M16" s="201">
        <v>7425480.119209051</v>
      </c>
      <c r="N16" s="201">
        <v>8664267.105792522</v>
      </c>
      <c r="O16" s="156"/>
    </row>
    <row r="17" spans="1:14" s="156" customFormat="1" ht="40.5" customHeight="1">
      <c r="A17" s="169" t="s">
        <v>179</v>
      </c>
      <c r="B17" s="213" t="s">
        <v>190</v>
      </c>
      <c r="C17" s="201">
        <v>78534586</v>
      </c>
      <c r="D17" s="204">
        <v>4951711.290999889</v>
      </c>
      <c r="E17" s="204">
        <v>5303794</v>
      </c>
      <c r="F17" s="204"/>
      <c r="G17" s="204"/>
      <c r="H17" s="204">
        <v>2624744</v>
      </c>
      <c r="I17" s="204">
        <v>2796899</v>
      </c>
      <c r="J17" s="204">
        <v>972958</v>
      </c>
      <c r="K17" s="204">
        <v>3368549</v>
      </c>
      <c r="L17" s="201"/>
      <c r="M17" s="201"/>
      <c r="N17" s="201"/>
    </row>
    <row r="18" spans="1:15" s="157" customFormat="1" ht="12.75">
      <c r="A18" s="163">
        <v>5</v>
      </c>
      <c r="B18" s="706" t="s">
        <v>243</v>
      </c>
      <c r="C18" s="201"/>
      <c r="D18" s="201"/>
      <c r="E18" s="201"/>
      <c r="F18" s="202"/>
      <c r="G18" s="201"/>
      <c r="H18" s="201"/>
      <c r="I18" s="201"/>
      <c r="J18" s="201"/>
      <c r="K18" s="201"/>
      <c r="L18" s="201"/>
      <c r="M18" s="201"/>
      <c r="N18" s="201"/>
      <c r="O18" s="156"/>
    </row>
    <row r="19" spans="1:15" s="157" customFormat="1" ht="13.5" customHeight="1">
      <c r="A19" s="163">
        <v>6</v>
      </c>
      <c r="B19" s="704" t="s">
        <v>191</v>
      </c>
      <c r="C19" s="201">
        <v>252666997</v>
      </c>
      <c r="D19" s="201">
        <v>285081996.66900015</v>
      </c>
      <c r="E19" s="201">
        <v>216121680.63625622</v>
      </c>
      <c r="F19" s="201">
        <v>231273922.1792091</v>
      </c>
      <c r="G19" s="201">
        <v>232747335.0917741</v>
      </c>
      <c r="H19" s="201">
        <v>233947313.9740374</v>
      </c>
      <c r="I19" s="201">
        <v>232815800.55288076</v>
      </c>
      <c r="J19" s="201">
        <v>233555962.85983622</v>
      </c>
      <c r="K19" s="201">
        <v>240720297.7619841</v>
      </c>
      <c r="L19" s="201">
        <v>245030685.60920906</v>
      </c>
      <c r="M19" s="201">
        <v>259449815.0357926</v>
      </c>
      <c r="N19" s="201">
        <v>268099902.47597003</v>
      </c>
      <c r="O19" s="156"/>
    </row>
    <row r="20" spans="1:15" s="154" customFormat="1" ht="19.5" customHeight="1">
      <c r="A20" s="177">
        <v>7</v>
      </c>
      <c r="B20" s="703" t="s">
        <v>192</v>
      </c>
      <c r="C20" s="203">
        <v>73215000</v>
      </c>
      <c r="D20" s="203">
        <v>75733542.96000001</v>
      </c>
      <c r="E20" s="203">
        <v>85077020.60000001</v>
      </c>
      <c r="F20" s="203">
        <v>92150618.41</v>
      </c>
      <c r="G20" s="203">
        <v>82032658.96000001</v>
      </c>
      <c r="H20" s="203">
        <v>85857382.37</v>
      </c>
      <c r="I20" s="203">
        <v>82522767.45</v>
      </c>
      <c r="J20" s="203">
        <v>79235887.43</v>
      </c>
      <c r="K20" s="203">
        <v>74768771.45</v>
      </c>
      <c r="L20" s="203">
        <v>37605205.49</v>
      </c>
      <c r="M20" s="203">
        <v>40785547.93</v>
      </c>
      <c r="N20" s="203">
        <v>32885547.96</v>
      </c>
      <c r="O20" s="168">
        <v>841869951.0100001</v>
      </c>
    </row>
    <row r="21" spans="1:15" s="157" customFormat="1" ht="13.5" customHeight="1">
      <c r="A21" s="163" t="s">
        <v>179</v>
      </c>
      <c r="B21" s="704" t="s">
        <v>193</v>
      </c>
      <c r="C21" s="204">
        <v>49500000</v>
      </c>
      <c r="D21" s="204">
        <v>49500000</v>
      </c>
      <c r="E21" s="204">
        <v>58400000</v>
      </c>
      <c r="F21" s="200">
        <v>68800000</v>
      </c>
      <c r="G21" s="204">
        <v>61800000</v>
      </c>
      <c r="H21" s="204">
        <v>68800000</v>
      </c>
      <c r="I21" s="204">
        <v>68800000</v>
      </c>
      <c r="J21" s="204">
        <v>68800000</v>
      </c>
      <c r="K21" s="204">
        <v>67600000</v>
      </c>
      <c r="L21" s="204">
        <v>33000000</v>
      </c>
      <c r="M21" s="204">
        <v>38000000</v>
      </c>
      <c r="N21" s="204">
        <v>32000000</v>
      </c>
      <c r="O21" s="156"/>
    </row>
    <row r="22" spans="1:14" s="156" customFormat="1" ht="13.5" customHeight="1">
      <c r="A22" s="169" t="s">
        <v>181</v>
      </c>
      <c r="B22" s="704" t="s">
        <v>194</v>
      </c>
      <c r="C22" s="204">
        <v>23715000</v>
      </c>
      <c r="D22" s="204">
        <v>26233542.96</v>
      </c>
      <c r="E22" s="204">
        <v>26677020.600000005</v>
      </c>
      <c r="F22" s="202">
        <v>23350618.41</v>
      </c>
      <c r="G22" s="201">
        <v>20232658.96</v>
      </c>
      <c r="H22" s="201">
        <v>17057382.37</v>
      </c>
      <c r="I22" s="201">
        <v>13722767.45</v>
      </c>
      <c r="J22" s="201">
        <v>10435887.43</v>
      </c>
      <c r="K22" s="201">
        <v>7168771.45</v>
      </c>
      <c r="L22" s="201">
        <v>4605205.49</v>
      </c>
      <c r="M22" s="201">
        <v>2785547.93</v>
      </c>
      <c r="N22" s="201">
        <v>885547.96</v>
      </c>
    </row>
    <row r="23" spans="1:14" s="156" customFormat="1" ht="13.5" customHeight="1">
      <c r="A23" s="169">
        <v>8</v>
      </c>
      <c r="B23" s="704" t="s">
        <v>195</v>
      </c>
      <c r="C23" s="201"/>
      <c r="D23" s="201"/>
      <c r="E23" s="201"/>
      <c r="F23" s="202"/>
      <c r="G23" s="201"/>
      <c r="H23" s="201"/>
      <c r="I23" s="201"/>
      <c r="J23" s="201"/>
      <c r="K23" s="201"/>
      <c r="L23" s="201"/>
      <c r="M23" s="201"/>
      <c r="N23" s="201"/>
    </row>
    <row r="24" spans="1:14" s="156" customFormat="1" ht="13.5" customHeight="1">
      <c r="A24" s="169">
        <v>9</v>
      </c>
      <c r="B24" s="704" t="s">
        <v>196</v>
      </c>
      <c r="C24" s="201">
        <v>179451997</v>
      </c>
      <c r="D24" s="201">
        <v>209348453.70900014</v>
      </c>
      <c r="E24" s="201">
        <v>131044660.03625621</v>
      </c>
      <c r="F24" s="201">
        <v>139123303.76920912</v>
      </c>
      <c r="G24" s="201">
        <v>150714676.1317741</v>
      </c>
      <c r="H24" s="201">
        <v>148089931.6040374</v>
      </c>
      <c r="I24" s="201">
        <v>150293033.10288078</v>
      </c>
      <c r="J24" s="201">
        <v>154320075.4298362</v>
      </c>
      <c r="K24" s="201">
        <v>165951526.31198412</v>
      </c>
      <c r="L24" s="201">
        <v>207425480.11920905</v>
      </c>
      <c r="M24" s="201">
        <v>218664267.10579258</v>
      </c>
      <c r="N24" s="201">
        <v>235214354.51597002</v>
      </c>
    </row>
    <row r="25" spans="1:14" s="153" customFormat="1" ht="19.5" customHeight="1">
      <c r="A25" s="170">
        <v>10</v>
      </c>
      <c r="B25" s="702" t="s">
        <v>422</v>
      </c>
      <c r="C25" s="205">
        <v>309151832</v>
      </c>
      <c r="D25" s="205">
        <v>284000000</v>
      </c>
      <c r="E25" s="205">
        <v>131000000</v>
      </c>
      <c r="F25" s="205">
        <v>130000000</v>
      </c>
      <c r="G25" s="205">
        <v>140000000</v>
      </c>
      <c r="H25" s="205">
        <v>140000000</v>
      </c>
      <c r="I25" s="205">
        <v>145000000</v>
      </c>
      <c r="J25" s="205">
        <v>150000000</v>
      </c>
      <c r="K25" s="205">
        <v>165000000</v>
      </c>
      <c r="L25" s="205">
        <v>200000000</v>
      </c>
      <c r="M25" s="205">
        <v>210000000</v>
      </c>
      <c r="N25" s="205">
        <v>220000000</v>
      </c>
    </row>
    <row r="26" spans="1:14" s="156" customFormat="1" ht="13.5" customHeight="1">
      <c r="A26" s="169" t="s">
        <v>179</v>
      </c>
      <c r="B26" s="704" t="s">
        <v>197</v>
      </c>
      <c r="C26" s="201">
        <v>297383987</v>
      </c>
      <c r="D26" s="204">
        <v>283901939</v>
      </c>
      <c r="E26" s="204">
        <v>130892969</v>
      </c>
      <c r="F26" s="200">
        <v>74514072</v>
      </c>
      <c r="G26" s="204">
        <v>19500000</v>
      </c>
      <c r="H26" s="201"/>
      <c r="I26" s="201"/>
      <c r="J26" s="201"/>
      <c r="K26" s="201"/>
      <c r="L26" s="201"/>
      <c r="M26" s="201"/>
      <c r="N26" s="201"/>
    </row>
    <row r="27" spans="1:14" s="153" customFormat="1" ht="12.75">
      <c r="A27" s="170">
        <v>11</v>
      </c>
      <c r="B27" s="702" t="s">
        <v>244</v>
      </c>
      <c r="C27" s="206">
        <v>140000000</v>
      </c>
      <c r="D27" s="206">
        <v>80000000</v>
      </c>
      <c r="E27" s="206"/>
      <c r="F27" s="206"/>
      <c r="G27" s="206"/>
      <c r="H27" s="206"/>
      <c r="I27" s="206"/>
      <c r="J27" s="206"/>
      <c r="K27" s="206"/>
      <c r="L27" s="206"/>
      <c r="M27" s="206"/>
      <c r="N27" s="206"/>
    </row>
    <row r="28" spans="1:14" s="172" customFormat="1" ht="12.75">
      <c r="A28" s="171">
        <v>12</v>
      </c>
      <c r="B28" s="707" t="s">
        <v>426</v>
      </c>
      <c r="C28" s="207">
        <v>10300165</v>
      </c>
      <c r="D28" s="207">
        <v>5348453.70900014</v>
      </c>
      <c r="E28" s="207">
        <v>44660.036256209016</v>
      </c>
      <c r="F28" s="207">
        <v>9123303.769209117</v>
      </c>
      <c r="G28" s="207">
        <v>10714676.131774098</v>
      </c>
      <c r="H28" s="207">
        <v>8089931.604037404</v>
      </c>
      <c r="I28" s="207">
        <v>5293033.102880776</v>
      </c>
      <c r="J28" s="207">
        <v>4320075.429836214</v>
      </c>
      <c r="K28" s="207">
        <v>951526.3119841218</v>
      </c>
      <c r="L28" s="207">
        <v>7425480.119209051</v>
      </c>
      <c r="M28" s="207">
        <v>8664267.105792582</v>
      </c>
      <c r="N28" s="207">
        <v>15214354.515970021</v>
      </c>
    </row>
    <row r="29" spans="1:15" s="154" customFormat="1" ht="12.75">
      <c r="A29" s="177">
        <v>13</v>
      </c>
      <c r="B29" s="702" t="s">
        <v>423</v>
      </c>
      <c r="C29" s="199">
        <v>535500000</v>
      </c>
      <c r="D29" s="199">
        <v>566000000</v>
      </c>
      <c r="E29" s="199">
        <v>507600000</v>
      </c>
      <c r="F29" s="199">
        <v>438800000</v>
      </c>
      <c r="G29" s="199">
        <v>377000000</v>
      </c>
      <c r="H29" s="199">
        <v>308200000</v>
      </c>
      <c r="I29" s="199">
        <v>239400000</v>
      </c>
      <c r="J29" s="199">
        <v>170600000</v>
      </c>
      <c r="K29" s="199">
        <v>103000000</v>
      </c>
      <c r="L29" s="199">
        <v>70000000</v>
      </c>
      <c r="M29" s="199">
        <v>32000000</v>
      </c>
      <c r="N29" s="199">
        <v>0</v>
      </c>
      <c r="O29" s="153"/>
    </row>
    <row r="30" spans="1:15" s="176" customFormat="1" ht="25.5">
      <c r="A30" s="214" t="s">
        <v>179</v>
      </c>
      <c r="B30" s="708" t="s">
        <v>246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175"/>
    </row>
    <row r="31" spans="1:15" s="176" customFormat="1" ht="27.75" customHeight="1">
      <c r="A31" s="214" t="s">
        <v>181</v>
      </c>
      <c r="B31" s="200" t="s">
        <v>198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175"/>
    </row>
    <row r="32" spans="1:15" s="157" customFormat="1" ht="39" customHeight="1">
      <c r="A32" s="163">
        <v>14</v>
      </c>
      <c r="B32" s="706" t="s">
        <v>245</v>
      </c>
      <c r="C32" s="208"/>
      <c r="D32" s="208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156"/>
    </row>
    <row r="33" spans="1:15" s="157" customFormat="1" ht="12.75">
      <c r="A33" s="163" t="s">
        <v>199</v>
      </c>
      <c r="B33" s="706" t="s">
        <v>247</v>
      </c>
      <c r="C33" s="210">
        <v>6.7412352526777815</v>
      </c>
      <c r="D33" s="210">
        <v>6.558255497537808</v>
      </c>
      <c r="E33" s="210">
        <v>7.728841737683566</v>
      </c>
      <c r="F33" s="210">
        <v>8.146060351677411</v>
      </c>
      <c r="G33" s="210">
        <v>7.14617489673835</v>
      </c>
      <c r="H33" s="210">
        <v>7.322661582916673</v>
      </c>
      <c r="I33" s="210">
        <v>6.879122204007484</v>
      </c>
      <c r="J33" s="210">
        <v>6.444714516315464</v>
      </c>
      <c r="K33" s="210">
        <v>5.9122537405965225</v>
      </c>
      <c r="L33" s="210">
        <v>2.8925252055982167</v>
      </c>
      <c r="M33" s="210">
        <v>3.0515782769811777</v>
      </c>
      <c r="N33" s="210">
        <v>2.3947542628071137</v>
      </c>
      <c r="O33" s="156"/>
    </row>
    <row r="34" spans="1:15" s="157" customFormat="1" ht="12.75">
      <c r="A34" s="163" t="s">
        <v>179</v>
      </c>
      <c r="B34" s="706" t="s">
        <v>248</v>
      </c>
      <c r="C34" s="210" t="s">
        <v>200</v>
      </c>
      <c r="D34" s="210" t="s">
        <v>200</v>
      </c>
      <c r="E34" s="210" t="s">
        <v>200</v>
      </c>
      <c r="F34" s="210">
        <v>8.34</v>
      </c>
      <c r="G34" s="210">
        <v>13.68</v>
      </c>
      <c r="H34" s="210">
        <v>16.46</v>
      </c>
      <c r="I34" s="210">
        <v>17.59</v>
      </c>
      <c r="J34" s="210">
        <v>17.43</v>
      </c>
      <c r="K34" s="210">
        <v>17.53</v>
      </c>
      <c r="L34" s="210">
        <v>17.81</v>
      </c>
      <c r="M34" s="210">
        <v>18.09</v>
      </c>
      <c r="N34" s="210">
        <v>18.4</v>
      </c>
      <c r="O34" s="156"/>
    </row>
    <row r="35" spans="1:15" s="157" customFormat="1" ht="25.5">
      <c r="A35" s="163">
        <v>16</v>
      </c>
      <c r="B35" s="706" t="s">
        <v>249</v>
      </c>
      <c r="C35" s="207" t="s">
        <v>201</v>
      </c>
      <c r="D35" s="207" t="s">
        <v>201</v>
      </c>
      <c r="E35" s="207" t="s">
        <v>201</v>
      </c>
      <c r="F35" s="207" t="s">
        <v>201</v>
      </c>
      <c r="G35" s="207" t="s">
        <v>201</v>
      </c>
      <c r="H35" s="207" t="s">
        <v>201</v>
      </c>
      <c r="I35" s="207" t="s">
        <v>201</v>
      </c>
      <c r="J35" s="207" t="s">
        <v>201</v>
      </c>
      <c r="K35" s="207" t="s">
        <v>201</v>
      </c>
      <c r="L35" s="207" t="s">
        <v>201</v>
      </c>
      <c r="M35" s="207" t="s">
        <v>201</v>
      </c>
      <c r="N35" s="207" t="s">
        <v>201</v>
      </c>
      <c r="O35" s="156"/>
    </row>
    <row r="36" spans="1:15" s="154" customFormat="1" ht="15.75" customHeight="1">
      <c r="A36" s="177">
        <v>17</v>
      </c>
      <c r="B36" s="702" t="s">
        <v>424</v>
      </c>
      <c r="C36" s="211">
        <v>6.7412352526777815</v>
      </c>
      <c r="D36" s="211">
        <v>6.558255497537808</v>
      </c>
      <c r="E36" s="211">
        <v>7.728841737683566</v>
      </c>
      <c r="F36" s="211">
        <v>8.146060351677411</v>
      </c>
      <c r="G36" s="211">
        <v>7.14617489673835</v>
      </c>
      <c r="H36" s="211">
        <v>7.322661582916673</v>
      </c>
      <c r="I36" s="211">
        <v>6.879122204007484</v>
      </c>
      <c r="J36" s="211">
        <v>6.444714516315464</v>
      </c>
      <c r="K36" s="211">
        <v>5.9122537405965225</v>
      </c>
      <c r="L36" s="211">
        <v>2.8925252055982167</v>
      </c>
      <c r="M36" s="211">
        <v>3.0515782769811777</v>
      </c>
      <c r="N36" s="211">
        <v>2.3947542628071137</v>
      </c>
      <c r="O36" s="153"/>
    </row>
    <row r="37" spans="1:15" s="154" customFormat="1" ht="15.75" customHeight="1">
      <c r="A37" s="177">
        <v>18</v>
      </c>
      <c r="B37" s="702" t="s">
        <v>425</v>
      </c>
      <c r="C37" s="211">
        <v>49.305900127145414</v>
      </c>
      <c r="D37" s="211">
        <v>49.013587196982755</v>
      </c>
      <c r="E37" s="211">
        <v>46.113040141513586</v>
      </c>
      <c r="F37" s="211">
        <v>38.78966136084173</v>
      </c>
      <c r="G37" s="211">
        <v>32.841894560360814</v>
      </c>
      <c r="H37" s="211">
        <v>26.285966769043934</v>
      </c>
      <c r="I37" s="211">
        <v>19.956454521925895</v>
      </c>
      <c r="J37" s="211">
        <v>13.875887961180853</v>
      </c>
      <c r="K37" s="211">
        <v>8.144605340863091</v>
      </c>
      <c r="L37" s="211">
        <v>5.384274909645632</v>
      </c>
      <c r="M37" s="211">
        <v>2.3942428095117094</v>
      </c>
      <c r="N37" s="211">
        <v>0</v>
      </c>
      <c r="O37" s="153"/>
    </row>
    <row r="38" spans="1:15" s="157" customFormat="1" ht="13.5" customHeight="1">
      <c r="A38" s="163">
        <v>19</v>
      </c>
      <c r="B38" s="704" t="s">
        <v>202</v>
      </c>
      <c r="C38" s="202">
        <v>945959671</v>
      </c>
      <c r="D38" s="202">
        <v>906233542.96</v>
      </c>
      <c r="E38" s="202">
        <v>916677020.6</v>
      </c>
      <c r="F38" s="202">
        <v>923350618.41</v>
      </c>
      <c r="G38" s="202">
        <v>944532658.96</v>
      </c>
      <c r="H38" s="202">
        <v>966313482.37</v>
      </c>
      <c r="I38" s="202">
        <v>988608782.1500001</v>
      </c>
      <c r="J38" s="202">
        <v>1011643824.5269</v>
      </c>
      <c r="K38" s="202">
        <v>1035409322.8485165</v>
      </c>
      <c r="L38" s="202">
        <v>1060608251.7762764</v>
      </c>
      <c r="M38" s="202">
        <v>1087300676.4660058</v>
      </c>
      <c r="N38" s="202">
        <v>1114682584.9664779</v>
      </c>
      <c r="O38" s="156"/>
    </row>
    <row r="39" spans="1:14" s="156" customFormat="1" ht="13.5" customHeight="1">
      <c r="A39" s="169">
        <v>20</v>
      </c>
      <c r="B39" s="704" t="s">
        <v>203</v>
      </c>
      <c r="C39" s="202">
        <v>1255111503</v>
      </c>
      <c r="D39" s="202">
        <v>1190233542.96</v>
      </c>
      <c r="E39" s="202">
        <v>1047677020.6</v>
      </c>
      <c r="F39" s="202">
        <v>1053350618.41</v>
      </c>
      <c r="G39" s="202">
        <v>1084532658.96</v>
      </c>
      <c r="H39" s="202">
        <v>1106313482.37</v>
      </c>
      <c r="I39" s="202">
        <v>1133608782.15</v>
      </c>
      <c r="J39" s="202">
        <v>1161643824.5269</v>
      </c>
      <c r="K39" s="202">
        <v>1200409322.8485165</v>
      </c>
      <c r="L39" s="202">
        <v>1260608251.7762764</v>
      </c>
      <c r="M39" s="202">
        <v>1297300676.4660058</v>
      </c>
      <c r="N39" s="202">
        <v>1334682584.9664779</v>
      </c>
    </row>
    <row r="40" spans="1:14" s="153" customFormat="1" ht="13.5" customHeight="1">
      <c r="A40" s="170">
        <v>21</v>
      </c>
      <c r="B40" s="703" t="s">
        <v>204</v>
      </c>
      <c r="C40" s="206">
        <v>-169034586</v>
      </c>
      <c r="D40" s="206">
        <v>-35451711.29099989</v>
      </c>
      <c r="E40" s="206">
        <v>53096206.32725608</v>
      </c>
      <c r="F40" s="206">
        <v>77878643.73295295</v>
      </c>
      <c r="G40" s="206">
        <v>63391372.3625648</v>
      </c>
      <c r="H40" s="206">
        <v>66175255.472263575</v>
      </c>
      <c r="I40" s="206">
        <v>66003101.49884319</v>
      </c>
      <c r="J40" s="206">
        <v>67827042.32695556</v>
      </c>
      <c r="K40" s="206">
        <v>64231450.88214779</v>
      </c>
      <c r="L40" s="206">
        <v>39473953.80722499</v>
      </c>
      <c r="M40" s="206">
        <v>39238786.98658347</v>
      </c>
      <c r="N40" s="206">
        <v>38550087.41017747</v>
      </c>
    </row>
    <row r="41" spans="1:15" s="157" customFormat="1" ht="13.5" customHeight="1">
      <c r="A41" s="163">
        <v>22</v>
      </c>
      <c r="B41" s="704" t="s">
        <v>205</v>
      </c>
      <c r="C41" s="201">
        <v>228834751</v>
      </c>
      <c r="D41" s="201">
        <v>90300165</v>
      </c>
      <c r="E41" s="201">
        <v>5348453.709000111</v>
      </c>
      <c r="F41" s="201">
        <v>44660.036256194115</v>
      </c>
      <c r="G41" s="201">
        <v>9123303.769209266</v>
      </c>
      <c r="H41" s="201">
        <v>10714676.131773949</v>
      </c>
      <c r="I41" s="201">
        <v>8089931.604037523</v>
      </c>
      <c r="J41" s="201">
        <v>5293033.102880716</v>
      </c>
      <c r="K41" s="201">
        <v>4320075.429836273</v>
      </c>
      <c r="L41" s="201">
        <v>951526.3119840622</v>
      </c>
      <c r="M41" s="201">
        <v>7425480.119209051</v>
      </c>
      <c r="N41" s="201">
        <v>8664267.105792522</v>
      </c>
      <c r="O41" s="156"/>
    </row>
    <row r="42" spans="1:15" s="157" customFormat="1" ht="13.5" customHeight="1">
      <c r="A42" s="163">
        <v>23</v>
      </c>
      <c r="B42" s="704" t="s">
        <v>206</v>
      </c>
      <c r="C42" s="201">
        <v>49500000</v>
      </c>
      <c r="D42" s="201">
        <v>49500000</v>
      </c>
      <c r="E42" s="201">
        <v>58400000</v>
      </c>
      <c r="F42" s="202">
        <v>68800000</v>
      </c>
      <c r="G42" s="201">
        <v>61800000</v>
      </c>
      <c r="H42" s="201">
        <v>68800000</v>
      </c>
      <c r="I42" s="201">
        <v>68800000</v>
      </c>
      <c r="J42" s="201">
        <v>68800000</v>
      </c>
      <c r="K42" s="201">
        <v>67600000</v>
      </c>
      <c r="L42" s="201">
        <v>33000000</v>
      </c>
      <c r="M42" s="201">
        <v>38000000</v>
      </c>
      <c r="N42" s="201">
        <v>32000000</v>
      </c>
      <c r="O42" s="156"/>
    </row>
    <row r="43" spans="1:15" s="157" customFormat="1" ht="27" customHeight="1" hidden="1">
      <c r="A43" s="164">
        <v>24</v>
      </c>
      <c r="B43" s="709" t="s">
        <v>207</v>
      </c>
      <c r="C43" s="178">
        <v>0</v>
      </c>
      <c r="D43" s="178">
        <v>0</v>
      </c>
      <c r="E43" s="178">
        <v>0</v>
      </c>
      <c r="F43" s="178">
        <v>0</v>
      </c>
      <c r="G43" s="178">
        <v>0</v>
      </c>
      <c r="H43" s="178">
        <v>0</v>
      </c>
      <c r="I43" s="178">
        <v>0</v>
      </c>
      <c r="J43" s="178">
        <v>0</v>
      </c>
      <c r="K43" s="178">
        <v>0</v>
      </c>
      <c r="L43" s="178">
        <v>0</v>
      </c>
      <c r="M43" s="178">
        <v>0</v>
      </c>
      <c r="N43" s="178">
        <v>0</v>
      </c>
      <c r="O43" s="156"/>
    </row>
    <row r="44" spans="1:15" s="157" customFormat="1" ht="13.5" customHeight="1" hidden="1">
      <c r="A44" s="155" t="s">
        <v>179</v>
      </c>
      <c r="B44" s="710" t="s">
        <v>208</v>
      </c>
      <c r="C44" s="173"/>
      <c r="D44" s="162"/>
      <c r="E44" s="162"/>
      <c r="F44" s="162"/>
      <c r="G44" s="174"/>
      <c r="H44" s="174"/>
      <c r="I44" s="174"/>
      <c r="J44" s="174"/>
      <c r="K44" s="174"/>
      <c r="L44" s="174"/>
      <c r="M44" s="174"/>
      <c r="N44" s="174"/>
      <c r="O44" s="156"/>
    </row>
    <row r="45" spans="1:15" s="157" customFormat="1" ht="13.5" customHeight="1" hidden="1">
      <c r="A45" s="155" t="s">
        <v>181</v>
      </c>
      <c r="B45" s="710" t="s">
        <v>209</v>
      </c>
      <c r="C45" s="173"/>
      <c r="D45" s="162"/>
      <c r="E45" s="162"/>
      <c r="F45" s="162"/>
      <c r="G45" s="174"/>
      <c r="H45" s="174"/>
      <c r="I45" s="174"/>
      <c r="J45" s="174"/>
      <c r="K45" s="174"/>
      <c r="L45" s="174"/>
      <c r="M45" s="174"/>
      <c r="N45" s="174"/>
      <c r="O45" s="156"/>
    </row>
    <row r="46" spans="1:15" s="157" customFormat="1" ht="13.5" customHeight="1" hidden="1">
      <c r="A46" s="155" t="s">
        <v>183</v>
      </c>
      <c r="B46" s="710" t="s">
        <v>210</v>
      </c>
      <c r="C46" s="159"/>
      <c r="D46" s="160"/>
      <c r="E46" s="160"/>
      <c r="F46" s="162"/>
      <c r="G46" s="161"/>
      <c r="H46" s="161"/>
      <c r="I46" s="161"/>
      <c r="J46" s="161"/>
      <c r="K46" s="161"/>
      <c r="L46" s="161"/>
      <c r="M46" s="161"/>
      <c r="N46" s="161"/>
      <c r="O46" s="156"/>
    </row>
    <row r="47" spans="1:15" s="157" customFormat="1" ht="13.5" customHeight="1" hidden="1">
      <c r="A47" s="155" t="s">
        <v>186</v>
      </c>
      <c r="B47" s="710" t="s">
        <v>211</v>
      </c>
      <c r="C47" s="159"/>
      <c r="D47" s="160"/>
      <c r="E47" s="160"/>
      <c r="F47" s="162"/>
      <c r="G47" s="161"/>
      <c r="H47" s="161"/>
      <c r="I47" s="161"/>
      <c r="J47" s="161"/>
      <c r="K47" s="161"/>
      <c r="L47" s="161"/>
      <c r="M47" s="161"/>
      <c r="N47" s="161"/>
      <c r="O47" s="156"/>
    </row>
    <row r="48" spans="1:15" s="157" customFormat="1" ht="13.5" customHeight="1" hidden="1">
      <c r="A48" s="155" t="s">
        <v>187</v>
      </c>
      <c r="B48" s="710" t="s">
        <v>212</v>
      </c>
      <c r="C48" s="159"/>
      <c r="D48" s="160"/>
      <c r="E48" s="160"/>
      <c r="F48" s="160"/>
      <c r="G48" s="179"/>
      <c r="H48" s="179"/>
      <c r="I48" s="179"/>
      <c r="J48" s="179"/>
      <c r="K48" s="179"/>
      <c r="L48" s="179"/>
      <c r="M48" s="179"/>
      <c r="N48" s="179"/>
      <c r="O48" s="156"/>
    </row>
    <row r="49" spans="1:14" ht="13.5" customHeight="1" hidden="1">
      <c r="A49" s="158" t="s">
        <v>213</v>
      </c>
      <c r="B49" s="711" t="s">
        <v>214</v>
      </c>
      <c r="C49" s="165"/>
      <c r="D49" s="166"/>
      <c r="E49" s="166"/>
      <c r="F49" s="166"/>
      <c r="G49" s="167"/>
      <c r="H49" s="167"/>
      <c r="I49" s="167"/>
      <c r="J49" s="167"/>
      <c r="K49" s="167"/>
      <c r="L49" s="167"/>
      <c r="M49" s="167"/>
      <c r="N49" s="167"/>
    </row>
    <row r="50" spans="1:14" ht="12.75" customHeight="1" hidden="1">
      <c r="A50" s="180"/>
      <c r="B50" s="712" t="s">
        <v>215</v>
      </c>
      <c r="C50" s="181"/>
      <c r="D50" s="182"/>
      <c r="E50" s="182"/>
      <c r="F50" s="182"/>
      <c r="G50" s="183"/>
      <c r="H50" s="183"/>
      <c r="I50" s="183"/>
      <c r="J50" s="183"/>
      <c r="K50" s="183"/>
      <c r="L50" s="183"/>
      <c r="M50" s="183"/>
      <c r="N50" s="183"/>
    </row>
    <row r="51" spans="1:14" ht="12.75" customHeight="1" hidden="1">
      <c r="A51" s="184"/>
      <c r="B51" s="713" t="s">
        <v>216</v>
      </c>
      <c r="C51" s="185"/>
      <c r="D51" s="186"/>
      <c r="E51" s="186"/>
      <c r="F51" s="186"/>
      <c r="G51" s="187"/>
      <c r="H51" s="187"/>
      <c r="I51" s="187"/>
      <c r="J51" s="187"/>
      <c r="K51" s="187"/>
      <c r="L51" s="187"/>
      <c r="M51" s="187"/>
      <c r="N51" s="187"/>
    </row>
    <row r="52" spans="1:14" ht="9.75" customHeight="1" hidden="1">
      <c r="A52" s="188"/>
      <c r="B52" s="714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</row>
    <row r="53" spans="1:7" ht="25.5" customHeight="1" hidden="1">
      <c r="A53" s="190" t="s">
        <v>217</v>
      </c>
      <c r="B53" s="715"/>
      <c r="C53" s="190"/>
      <c r="D53" s="190"/>
      <c r="E53" s="190"/>
      <c r="F53" s="191"/>
      <c r="G53" s="190"/>
    </row>
    <row r="54" spans="1:7" ht="12.75" customHeight="1" hidden="1">
      <c r="A54" s="192" t="s">
        <v>218</v>
      </c>
      <c r="B54" s="192"/>
      <c r="C54" s="192"/>
      <c r="D54" s="192"/>
      <c r="E54" s="192"/>
      <c r="F54" s="172"/>
      <c r="G54" s="192"/>
    </row>
    <row r="55" ht="12.75" customHeight="1" hidden="1">
      <c r="B55" s="716"/>
    </row>
    <row r="56" spans="1:7" ht="12.75" customHeight="1" hidden="1">
      <c r="A56" s="193" t="s">
        <v>222</v>
      </c>
      <c r="B56" s="717"/>
      <c r="C56" s="48"/>
      <c r="D56" s="48"/>
      <c r="E56" s="48"/>
      <c r="F56" s="194"/>
      <c r="G56" s="48"/>
    </row>
    <row r="57" spans="1:7" ht="12.75" customHeight="1" hidden="1">
      <c r="A57" s="193" t="s">
        <v>223</v>
      </c>
      <c r="B57" s="718"/>
      <c r="C57" s="195"/>
      <c r="D57" s="195"/>
      <c r="E57" s="195"/>
      <c r="F57" s="196"/>
      <c r="G57" s="195"/>
    </row>
    <row r="58" spans="1:7" ht="12.75" customHeight="1" hidden="1">
      <c r="A58" s="193" t="s">
        <v>224</v>
      </c>
      <c r="B58" s="718"/>
      <c r="C58" s="195"/>
      <c r="D58" s="195"/>
      <c r="E58" s="195"/>
      <c r="F58" s="196"/>
      <c r="G58" s="195"/>
    </row>
    <row r="59" spans="1:7" ht="12.75" customHeight="1" hidden="1">
      <c r="A59" s="193" t="s">
        <v>225</v>
      </c>
      <c r="B59" s="718"/>
      <c r="C59" s="195"/>
      <c r="D59" s="195"/>
      <c r="E59" s="195"/>
      <c r="F59" s="196"/>
      <c r="G59" s="195"/>
    </row>
    <row r="60" spans="1:7" ht="12.75" customHeight="1" hidden="1">
      <c r="A60" s="193" t="s">
        <v>226</v>
      </c>
      <c r="B60" s="718"/>
      <c r="C60" s="195"/>
      <c r="D60" s="195"/>
      <c r="E60" s="195"/>
      <c r="F60" s="196"/>
      <c r="G60" s="195"/>
    </row>
    <row r="61" spans="1:7" ht="12.75" customHeight="1" hidden="1">
      <c r="A61" s="193" t="s">
        <v>227</v>
      </c>
      <c r="B61" s="718"/>
      <c r="C61" s="195"/>
      <c r="D61" s="195"/>
      <c r="E61" s="195"/>
      <c r="F61" s="196"/>
      <c r="G61" s="195"/>
    </row>
    <row r="62" spans="1:7" ht="12.75" customHeight="1" hidden="1">
      <c r="A62" s="193" t="s">
        <v>228</v>
      </c>
      <c r="B62" s="718"/>
      <c r="C62" s="195"/>
      <c r="D62" s="195"/>
      <c r="E62" s="195"/>
      <c r="F62" s="196"/>
      <c r="G62" s="195"/>
    </row>
    <row r="63" spans="1:7" ht="12.75" customHeight="1" hidden="1">
      <c r="A63" s="193" t="s">
        <v>229</v>
      </c>
      <c r="B63" s="718"/>
      <c r="C63" s="195"/>
      <c r="D63" s="195"/>
      <c r="E63" s="195"/>
      <c r="F63" s="196"/>
      <c r="G63" s="195"/>
    </row>
    <row r="64" spans="1:7" ht="26.25" customHeight="1" hidden="1">
      <c r="A64" s="193" t="s">
        <v>230</v>
      </c>
      <c r="B64" s="718"/>
      <c r="C64" s="195"/>
      <c r="D64" s="195"/>
      <c r="E64" s="195"/>
      <c r="F64" s="196"/>
      <c r="G64" s="195"/>
    </row>
    <row r="65" spans="1:7" ht="39.75" customHeight="1" hidden="1">
      <c r="A65" s="193" t="s">
        <v>231</v>
      </c>
      <c r="B65" s="718"/>
      <c r="C65" s="195"/>
      <c r="D65" s="195"/>
      <c r="E65" s="195"/>
      <c r="F65" s="196"/>
      <c r="G65" s="195"/>
    </row>
    <row r="66" spans="1:7" ht="12.75" customHeight="1" hidden="1">
      <c r="A66" s="193" t="s">
        <v>232</v>
      </c>
      <c r="B66" s="718"/>
      <c r="C66" s="195"/>
      <c r="D66" s="195"/>
      <c r="E66" s="195"/>
      <c r="F66" s="196"/>
      <c r="G66" s="195"/>
    </row>
    <row r="67" spans="1:7" ht="12.75" customHeight="1" hidden="1">
      <c r="A67" s="193" t="s">
        <v>233</v>
      </c>
      <c r="B67" s="718"/>
      <c r="C67" s="195"/>
      <c r="D67" s="195"/>
      <c r="E67" s="195"/>
      <c r="F67" s="196"/>
      <c r="G67" s="195"/>
    </row>
    <row r="68" spans="1:7" ht="12.75" customHeight="1" hidden="1">
      <c r="A68" s="193" t="s">
        <v>234</v>
      </c>
      <c r="B68" s="718"/>
      <c r="C68" s="195"/>
      <c r="D68" s="195"/>
      <c r="E68" s="195"/>
      <c r="F68" s="196"/>
      <c r="G68" s="195"/>
    </row>
    <row r="69" spans="1:7" ht="12.75" customHeight="1" hidden="1">
      <c r="A69" s="193" t="s">
        <v>235</v>
      </c>
      <c r="B69" s="718"/>
      <c r="C69" s="195"/>
      <c r="D69" s="195"/>
      <c r="E69" s="195"/>
      <c r="F69" s="196"/>
      <c r="G69" s="195"/>
    </row>
    <row r="70" spans="1:7" ht="25.5" customHeight="1" hidden="1">
      <c r="A70" s="193" t="s">
        <v>236</v>
      </c>
      <c r="B70" s="718"/>
      <c r="C70" s="195"/>
      <c r="D70" s="195"/>
      <c r="E70" s="195"/>
      <c r="F70" s="196"/>
      <c r="G70" s="195"/>
    </row>
    <row r="71" spans="1:7" ht="12.75" customHeight="1" hidden="1">
      <c r="A71" s="193" t="s">
        <v>237</v>
      </c>
      <c r="B71" s="718"/>
      <c r="C71" s="195"/>
      <c r="D71" s="195"/>
      <c r="E71" s="195"/>
      <c r="F71" s="196"/>
      <c r="G71" s="195"/>
    </row>
    <row r="72" spans="1:7" ht="12.75" customHeight="1" hidden="1">
      <c r="A72" s="193" t="s">
        <v>238</v>
      </c>
      <c r="B72" s="718"/>
      <c r="C72" s="195"/>
      <c r="D72" s="195"/>
      <c r="E72" s="195"/>
      <c r="F72" s="196"/>
      <c r="G72" s="195"/>
    </row>
    <row r="73" ht="12.75">
      <c r="B73" s="716"/>
    </row>
  </sheetData>
  <printOptions/>
  <pageMargins left="0.3937007874015748" right="0.3937007874015748" top="0.6" bottom="0.6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4"/>
  <sheetViews>
    <sheetView showZeros="0" workbookViewId="0" topLeftCell="A1">
      <pane xSplit="2" ySplit="4" topLeftCell="C10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1" sqref="T1"/>
    </sheetView>
  </sheetViews>
  <sheetFormatPr defaultColWidth="9.140625" defaultRowHeight="12.75"/>
  <cols>
    <col min="1" max="1" width="4.7109375" style="0" customWidth="1"/>
    <col min="2" max="2" width="26.140625" style="0" customWidth="1"/>
    <col min="3" max="3" width="9.7109375" style="0" customWidth="1"/>
    <col min="4" max="4" width="14.28125" style="2" customWidth="1"/>
    <col min="5" max="5" width="8.421875" style="2" customWidth="1"/>
    <col min="6" max="6" width="11.8515625" style="0" customWidth="1"/>
    <col min="7" max="7" width="15.57421875" style="0" customWidth="1"/>
    <col min="8" max="9" width="11.28125" style="0" hidden="1" customWidth="1"/>
    <col min="10" max="10" width="11.28125" style="0" customWidth="1"/>
    <col min="13" max="13" width="8.57421875" style="0" customWidth="1"/>
    <col min="14" max="14" width="7.00390625" style="0" customWidth="1"/>
    <col min="15" max="16" width="7.140625" style="0" hidden="1" customWidth="1"/>
    <col min="17" max="17" width="0" style="0" hidden="1" customWidth="1"/>
    <col min="18" max="18" width="11.140625" style="0" hidden="1" customWidth="1"/>
    <col min="19" max="19" width="0" style="0" hidden="1" customWidth="1"/>
    <col min="20" max="20" width="10.57421875" style="0" customWidth="1"/>
  </cols>
  <sheetData>
    <row r="1" spans="1:20" ht="12.75">
      <c r="A1" s="1"/>
      <c r="T1" s="3" t="s">
        <v>0</v>
      </c>
    </row>
    <row r="2" spans="1:20" ht="52.5" customHeight="1" thickBot="1">
      <c r="A2" s="753" t="s">
        <v>1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</row>
    <row r="3" spans="1:20" s="2" customFormat="1" ht="27.75" customHeight="1" thickBot="1">
      <c r="A3" s="754" t="s">
        <v>2</v>
      </c>
      <c r="B3" s="756" t="s">
        <v>3</v>
      </c>
      <c r="C3" s="756" t="s">
        <v>4</v>
      </c>
      <c r="D3" s="756" t="s">
        <v>5</v>
      </c>
      <c r="E3" s="756" t="s">
        <v>6</v>
      </c>
      <c r="F3" s="756" t="s">
        <v>7</v>
      </c>
      <c r="G3" s="756" t="s">
        <v>8</v>
      </c>
      <c r="H3" s="758" t="s">
        <v>9</v>
      </c>
      <c r="J3" s="758" t="s">
        <v>9</v>
      </c>
      <c r="K3" s="760" t="s">
        <v>10</v>
      </c>
      <c r="L3" s="761"/>
      <c r="M3" s="761"/>
      <c r="N3" s="761"/>
      <c r="O3" s="761"/>
      <c r="P3" s="761"/>
      <c r="Q3" s="761"/>
      <c r="R3" s="761"/>
      <c r="S3" s="762"/>
      <c r="T3" s="756" t="s">
        <v>11</v>
      </c>
    </row>
    <row r="4" spans="1:20" s="2" customFormat="1" ht="13.5" thickBot="1">
      <c r="A4" s="755"/>
      <c r="B4" s="757"/>
      <c r="C4" s="755"/>
      <c r="D4" s="755"/>
      <c r="E4" s="755"/>
      <c r="F4" s="755"/>
      <c r="G4" s="757"/>
      <c r="H4" s="759"/>
      <c r="I4" s="4">
        <v>2010</v>
      </c>
      <c r="J4" s="759"/>
      <c r="K4" s="5">
        <v>2011</v>
      </c>
      <c r="L4" s="6">
        <v>2012</v>
      </c>
      <c r="M4" s="6">
        <v>2013</v>
      </c>
      <c r="N4" s="6">
        <v>2014</v>
      </c>
      <c r="O4" s="6">
        <v>2015</v>
      </c>
      <c r="P4" s="6">
        <v>2016</v>
      </c>
      <c r="Q4" s="6">
        <v>2017</v>
      </c>
      <c r="R4" s="6">
        <v>2018</v>
      </c>
      <c r="S4" s="7">
        <v>2019</v>
      </c>
      <c r="T4" s="756"/>
    </row>
    <row r="5" spans="1:20" ht="12.75" customHeight="1">
      <c r="A5" s="750">
        <v>1</v>
      </c>
      <c r="B5" s="752" t="s">
        <v>12</v>
      </c>
      <c r="C5" s="739">
        <v>60015</v>
      </c>
      <c r="D5" s="747" t="s">
        <v>13</v>
      </c>
      <c r="E5" s="727">
        <v>2009</v>
      </c>
      <c r="F5" s="8" t="s">
        <v>14</v>
      </c>
      <c r="G5" s="9" t="s">
        <v>15</v>
      </c>
      <c r="H5" s="10"/>
      <c r="I5" s="11"/>
      <c r="J5" s="12"/>
      <c r="K5" s="12"/>
      <c r="L5" s="12"/>
      <c r="M5" s="12"/>
      <c r="N5" s="12"/>
      <c r="O5" s="12"/>
      <c r="P5" s="12"/>
      <c r="Q5" s="12"/>
      <c r="R5" s="12"/>
      <c r="S5" s="13"/>
      <c r="T5" s="743">
        <f>L13+M13+N13+O13+P13+Q13+R13+L14+M14+N14+O14+P14+Q14+S13+S14+R14</f>
        <v>0</v>
      </c>
    </row>
    <row r="6" spans="1:20" ht="12.75">
      <c r="A6" s="763"/>
      <c r="B6" s="737"/>
      <c r="C6" s="740"/>
      <c r="D6" s="748"/>
      <c r="E6" s="729"/>
      <c r="F6" s="746">
        <f>SUM(H13:S13)</f>
        <v>0</v>
      </c>
      <c r="G6" s="15" t="s">
        <v>16</v>
      </c>
      <c r="H6" s="16">
        <f>358009+2887651+22802486+512972+4816909-22802486-4816909</f>
        <v>3758632</v>
      </c>
      <c r="I6" s="17">
        <f>22802486+4816909</f>
        <v>27619395</v>
      </c>
      <c r="J6" s="18">
        <f aca="true" t="shared" si="0" ref="J6:J69">SUM(H6:I6)</f>
        <v>31378027</v>
      </c>
      <c r="K6" s="18">
        <f>2991441+1088163</f>
        <v>4079604</v>
      </c>
      <c r="L6" s="18"/>
      <c r="M6" s="18"/>
      <c r="N6" s="18"/>
      <c r="O6" s="18"/>
      <c r="P6" s="18"/>
      <c r="Q6" s="18"/>
      <c r="R6" s="18"/>
      <c r="S6" s="19"/>
      <c r="T6" s="744"/>
    </row>
    <row r="7" spans="1:20" ht="12.75">
      <c r="A7" s="763"/>
      <c r="B7" s="737"/>
      <c r="C7" s="740"/>
      <c r="D7" s="748"/>
      <c r="E7" s="729"/>
      <c r="F7" s="728"/>
      <c r="G7" s="15" t="s">
        <v>17</v>
      </c>
      <c r="H7" s="16"/>
      <c r="I7" s="17"/>
      <c r="J7" s="18">
        <f t="shared" si="0"/>
        <v>0</v>
      </c>
      <c r="K7" s="18"/>
      <c r="L7" s="18"/>
      <c r="M7" s="18"/>
      <c r="N7" s="18"/>
      <c r="O7" s="18"/>
      <c r="P7" s="18"/>
      <c r="Q7" s="18"/>
      <c r="R7" s="18"/>
      <c r="S7" s="19"/>
      <c r="T7" s="744"/>
    </row>
    <row r="8" spans="1:20" ht="12.75">
      <c r="A8" s="763"/>
      <c r="B8" s="737"/>
      <c r="C8" s="740"/>
      <c r="D8" s="748"/>
      <c r="E8" s="729"/>
      <c r="F8" s="21" t="s">
        <v>18</v>
      </c>
      <c r="G8" s="15" t="s">
        <v>19</v>
      </c>
      <c r="H8" s="16"/>
      <c r="I8" s="17"/>
      <c r="J8" s="18">
        <f t="shared" si="0"/>
        <v>0</v>
      </c>
      <c r="K8" s="18"/>
      <c r="L8" s="18"/>
      <c r="M8" s="18"/>
      <c r="N8" s="18"/>
      <c r="O8" s="18"/>
      <c r="P8" s="18"/>
      <c r="Q8" s="18"/>
      <c r="R8" s="18"/>
      <c r="S8" s="19"/>
      <c r="T8" s="744"/>
    </row>
    <row r="9" spans="1:20" ht="12.75">
      <c r="A9" s="763"/>
      <c r="B9" s="737"/>
      <c r="C9" s="740"/>
      <c r="D9" s="748"/>
      <c r="E9" s="729"/>
      <c r="F9" s="746">
        <f>SUM(H14:S14)</f>
        <v>121923385</v>
      </c>
      <c r="G9" s="15" t="s">
        <v>20</v>
      </c>
      <c r="H9" s="16"/>
      <c r="I9" s="17"/>
      <c r="J9" s="18">
        <f t="shared" si="0"/>
        <v>0</v>
      </c>
      <c r="K9" s="18"/>
      <c r="L9" s="18"/>
      <c r="M9" s="18"/>
      <c r="N9" s="18"/>
      <c r="O9" s="18"/>
      <c r="P9" s="18"/>
      <c r="Q9" s="18"/>
      <c r="R9" s="18"/>
      <c r="S9" s="19"/>
      <c r="T9" s="744"/>
    </row>
    <row r="10" spans="1:20" ht="12.75">
      <c r="A10" s="763"/>
      <c r="B10" s="737"/>
      <c r="C10" s="740"/>
      <c r="D10" s="748"/>
      <c r="E10" s="729">
        <v>2011</v>
      </c>
      <c r="F10" s="728"/>
      <c r="G10" s="15" t="s">
        <v>21</v>
      </c>
      <c r="H10" s="16">
        <f>358010+2887648+22802485-22802485</f>
        <v>3245658</v>
      </c>
      <c r="I10" s="17">
        <v>22802485</v>
      </c>
      <c r="J10" s="18">
        <f t="shared" si="0"/>
        <v>26048143</v>
      </c>
      <c r="K10" s="18">
        <v>2991441</v>
      </c>
      <c r="L10" s="18"/>
      <c r="M10" s="18"/>
      <c r="N10" s="18"/>
      <c r="O10" s="18"/>
      <c r="P10" s="18"/>
      <c r="Q10" s="18"/>
      <c r="R10" s="18"/>
      <c r="S10" s="19"/>
      <c r="T10" s="744"/>
    </row>
    <row r="11" spans="1:20" ht="12.75">
      <c r="A11" s="763"/>
      <c r="B11" s="737"/>
      <c r="C11" s="740"/>
      <c r="D11" s="748"/>
      <c r="E11" s="729"/>
      <c r="F11" s="21" t="s">
        <v>22</v>
      </c>
      <c r="G11" s="15" t="s">
        <v>23</v>
      </c>
      <c r="H11" s="16"/>
      <c r="I11" s="17"/>
      <c r="J11" s="18">
        <f t="shared" si="0"/>
        <v>0</v>
      </c>
      <c r="K11" s="18"/>
      <c r="L11" s="18"/>
      <c r="M11" s="18"/>
      <c r="N11" s="18"/>
      <c r="O11" s="18"/>
      <c r="P11" s="18"/>
      <c r="Q11" s="18"/>
      <c r="R11" s="18"/>
      <c r="S11" s="19"/>
      <c r="T11" s="744"/>
    </row>
    <row r="12" spans="1:20" ht="12.75">
      <c r="A12" s="763"/>
      <c r="B12" s="737"/>
      <c r="C12" s="740"/>
      <c r="D12" s="748"/>
      <c r="E12" s="729"/>
      <c r="F12" s="746">
        <f>F6+F9</f>
        <v>121923385</v>
      </c>
      <c r="G12" s="15" t="s">
        <v>24</v>
      </c>
      <c r="H12" s="16"/>
      <c r="I12" s="17"/>
      <c r="J12" s="18">
        <f t="shared" si="0"/>
        <v>0</v>
      </c>
      <c r="K12" s="18"/>
      <c r="L12" s="18"/>
      <c r="M12" s="18"/>
      <c r="N12" s="18"/>
      <c r="O12" s="18"/>
      <c r="P12" s="18"/>
      <c r="Q12" s="18"/>
      <c r="R12" s="18"/>
      <c r="S12" s="19"/>
      <c r="T12" s="744"/>
    </row>
    <row r="13" spans="1:20" ht="12.75">
      <c r="A13" s="763"/>
      <c r="B13" s="737"/>
      <c r="C13" s="740"/>
      <c r="D13" s="748"/>
      <c r="E13" s="729"/>
      <c r="F13" s="731"/>
      <c r="G13" s="15" t="s">
        <v>25</v>
      </c>
      <c r="H13" s="22">
        <f>H5+H7+H9+H11</f>
        <v>0</v>
      </c>
      <c r="I13" s="23">
        <f>I5+I7+I9+I11</f>
        <v>0</v>
      </c>
      <c r="J13" s="24">
        <f t="shared" si="0"/>
        <v>0</v>
      </c>
      <c r="K13" s="24">
        <f aca="true" t="shared" si="1" ref="K13:S13">K5+K7+K9+K11</f>
        <v>0</v>
      </c>
      <c r="L13" s="24">
        <f t="shared" si="1"/>
        <v>0</v>
      </c>
      <c r="M13" s="24">
        <f t="shared" si="1"/>
        <v>0</v>
      </c>
      <c r="N13" s="24">
        <f t="shared" si="1"/>
        <v>0</v>
      </c>
      <c r="O13" s="24">
        <f t="shared" si="1"/>
        <v>0</v>
      </c>
      <c r="P13" s="24">
        <f t="shared" si="1"/>
        <v>0</v>
      </c>
      <c r="Q13" s="24">
        <f t="shared" si="1"/>
        <v>0</v>
      </c>
      <c r="R13" s="24">
        <f t="shared" si="1"/>
        <v>0</v>
      </c>
      <c r="S13" s="25">
        <f t="shared" si="1"/>
        <v>0</v>
      </c>
      <c r="T13" s="744"/>
    </row>
    <row r="14" spans="1:20" ht="18.75" customHeight="1" thickBot="1">
      <c r="A14" s="751"/>
      <c r="B14" s="738"/>
      <c r="C14" s="741"/>
      <c r="D14" s="742"/>
      <c r="E14" s="723"/>
      <c r="F14" s="732"/>
      <c r="G14" s="26" t="s">
        <v>26</v>
      </c>
      <c r="H14" s="27">
        <f>H6+H8+H10+H12</f>
        <v>7004290</v>
      </c>
      <c r="I14" s="28">
        <f>I6+I8+I10+I12</f>
        <v>50421880</v>
      </c>
      <c r="J14" s="29">
        <f t="shared" si="0"/>
        <v>57426170</v>
      </c>
      <c r="K14" s="29">
        <f aca="true" t="shared" si="2" ref="K14:S14">K6+K8+K10+K12</f>
        <v>7071045</v>
      </c>
      <c r="L14" s="30">
        <f t="shared" si="2"/>
        <v>0</v>
      </c>
      <c r="M14" s="30">
        <f t="shared" si="2"/>
        <v>0</v>
      </c>
      <c r="N14" s="30">
        <f t="shared" si="2"/>
        <v>0</v>
      </c>
      <c r="O14" s="30">
        <f t="shared" si="2"/>
        <v>0</v>
      </c>
      <c r="P14" s="30">
        <f t="shared" si="2"/>
        <v>0</v>
      </c>
      <c r="Q14" s="30">
        <f t="shared" si="2"/>
        <v>0</v>
      </c>
      <c r="R14" s="30">
        <f t="shared" si="2"/>
        <v>0</v>
      </c>
      <c r="S14" s="31">
        <f t="shared" si="2"/>
        <v>0</v>
      </c>
      <c r="T14" s="745"/>
    </row>
    <row r="15" spans="1:20" ht="12.75" customHeight="1" thickBot="1">
      <c r="A15" s="724">
        <v>2</v>
      </c>
      <c r="B15" s="764" t="s">
        <v>27</v>
      </c>
      <c r="C15" s="767">
        <v>6004</v>
      </c>
      <c r="D15" s="771" t="s">
        <v>13</v>
      </c>
      <c r="E15" s="733">
        <v>2008</v>
      </c>
      <c r="F15" s="8" t="s">
        <v>14</v>
      </c>
      <c r="G15" s="32" t="s">
        <v>15</v>
      </c>
      <c r="H15" s="33"/>
      <c r="I15" s="11"/>
      <c r="J15" s="12">
        <f t="shared" si="0"/>
        <v>0</v>
      </c>
      <c r="K15" s="12"/>
      <c r="L15" s="34"/>
      <c r="M15" s="34"/>
      <c r="N15" s="34"/>
      <c r="O15" s="34"/>
      <c r="P15" s="34"/>
      <c r="Q15" s="34"/>
      <c r="R15" s="34"/>
      <c r="S15" s="35"/>
      <c r="T15" s="722">
        <f>L23+M23+N23+O23+P23+Q23+R23+L24+M24+N24+O24+P24+Q24+S23+S24+R24</f>
        <v>10425947</v>
      </c>
    </row>
    <row r="16" spans="1:20" ht="13.5" thickBot="1">
      <c r="A16" s="763"/>
      <c r="B16" s="765"/>
      <c r="C16" s="768"/>
      <c r="D16" s="770"/>
      <c r="E16" s="729"/>
      <c r="F16" s="746">
        <f>SUM(H23:S23)</f>
        <v>0</v>
      </c>
      <c r="G16" s="15" t="s">
        <v>16</v>
      </c>
      <c r="H16" s="16">
        <f>1443+432556-432556</f>
        <v>1443</v>
      </c>
      <c r="I16" s="17">
        <v>432556</v>
      </c>
      <c r="J16" s="18">
        <f t="shared" si="0"/>
        <v>433999</v>
      </c>
      <c r="K16" s="18">
        <f>3501338+653110</f>
        <v>4154448</v>
      </c>
      <c r="L16" s="18">
        <f>1608953+148080</f>
        <v>1757033</v>
      </c>
      <c r="M16" s="18">
        <f>1407327+223600</f>
        <v>1630927</v>
      </c>
      <c r="N16" s="18"/>
      <c r="O16" s="18"/>
      <c r="P16" s="18"/>
      <c r="Q16" s="18"/>
      <c r="R16" s="18"/>
      <c r="S16" s="19"/>
      <c r="T16" s="744"/>
    </row>
    <row r="17" spans="1:20" ht="13.5" thickBot="1">
      <c r="A17" s="763"/>
      <c r="B17" s="765"/>
      <c r="C17" s="768"/>
      <c r="D17" s="770"/>
      <c r="E17" s="729"/>
      <c r="F17" s="728"/>
      <c r="G17" s="15" t="s">
        <v>17</v>
      </c>
      <c r="H17" s="16"/>
      <c r="I17" s="17"/>
      <c r="J17" s="18">
        <f t="shared" si="0"/>
        <v>0</v>
      </c>
      <c r="K17" s="18"/>
      <c r="L17" s="18"/>
      <c r="M17" s="18"/>
      <c r="N17" s="18"/>
      <c r="O17" s="18"/>
      <c r="P17" s="18"/>
      <c r="Q17" s="18"/>
      <c r="R17" s="18"/>
      <c r="S17" s="19"/>
      <c r="T17" s="744"/>
    </row>
    <row r="18" spans="1:20" ht="13.5" thickBot="1">
      <c r="A18" s="763"/>
      <c r="B18" s="765"/>
      <c r="C18" s="768"/>
      <c r="D18" s="770"/>
      <c r="E18" s="729"/>
      <c r="F18" s="21" t="s">
        <v>18</v>
      </c>
      <c r="G18" s="15" t="s">
        <v>19</v>
      </c>
      <c r="H18" s="16"/>
      <c r="I18" s="17"/>
      <c r="J18" s="18">
        <f t="shared" si="0"/>
        <v>0</v>
      </c>
      <c r="K18" s="18"/>
      <c r="L18" s="18"/>
      <c r="M18" s="18"/>
      <c r="N18" s="18"/>
      <c r="O18" s="18"/>
      <c r="P18" s="18"/>
      <c r="Q18" s="18"/>
      <c r="R18" s="18"/>
      <c r="S18" s="19"/>
      <c r="T18" s="744"/>
    </row>
    <row r="19" spans="1:20" ht="13.5" thickBot="1">
      <c r="A19" s="763"/>
      <c r="B19" s="765"/>
      <c r="C19" s="768"/>
      <c r="D19" s="770"/>
      <c r="E19" s="729"/>
      <c r="F19" s="746">
        <f>SUM(H24:S24)</f>
        <v>23618182</v>
      </c>
      <c r="G19" s="15" t="s">
        <v>20</v>
      </c>
      <c r="H19" s="16"/>
      <c r="I19" s="17"/>
      <c r="J19" s="18">
        <f t="shared" si="0"/>
        <v>0</v>
      </c>
      <c r="K19" s="18"/>
      <c r="L19" s="18"/>
      <c r="M19" s="18"/>
      <c r="N19" s="18"/>
      <c r="O19" s="18"/>
      <c r="P19" s="18"/>
      <c r="Q19" s="18"/>
      <c r="R19" s="18"/>
      <c r="S19" s="19"/>
      <c r="T19" s="744"/>
    </row>
    <row r="20" spans="1:20" ht="13.5" thickBot="1">
      <c r="A20" s="763"/>
      <c r="B20" s="765"/>
      <c r="C20" s="768"/>
      <c r="D20" s="770"/>
      <c r="E20" s="729">
        <v>2013</v>
      </c>
      <c r="F20" s="728"/>
      <c r="G20" s="15" t="s">
        <v>21</v>
      </c>
      <c r="H20" s="16"/>
      <c r="I20" s="17"/>
      <c r="J20" s="18">
        <f t="shared" si="0"/>
        <v>0</v>
      </c>
      <c r="K20" s="18">
        <v>8169789</v>
      </c>
      <c r="L20" s="18">
        <v>3754222</v>
      </c>
      <c r="M20" s="18">
        <v>3283765</v>
      </c>
      <c r="N20" s="18"/>
      <c r="O20" s="18"/>
      <c r="P20" s="18"/>
      <c r="Q20" s="18"/>
      <c r="R20" s="18"/>
      <c r="S20" s="19"/>
      <c r="T20" s="744"/>
    </row>
    <row r="21" spans="1:20" ht="13.5" thickBot="1">
      <c r="A21" s="763"/>
      <c r="B21" s="765"/>
      <c r="C21" s="768"/>
      <c r="D21" s="770"/>
      <c r="E21" s="729"/>
      <c r="F21" s="21" t="s">
        <v>22</v>
      </c>
      <c r="G21" s="15" t="s">
        <v>23</v>
      </c>
      <c r="H21" s="16"/>
      <c r="I21" s="17"/>
      <c r="J21" s="18">
        <f t="shared" si="0"/>
        <v>0</v>
      </c>
      <c r="K21" s="18"/>
      <c r="L21" s="18"/>
      <c r="M21" s="18"/>
      <c r="N21" s="18"/>
      <c r="O21" s="18"/>
      <c r="P21" s="18"/>
      <c r="Q21" s="18"/>
      <c r="R21" s="18"/>
      <c r="S21" s="19"/>
      <c r="T21" s="744"/>
    </row>
    <row r="22" spans="1:20" ht="13.5" thickBot="1">
      <c r="A22" s="763"/>
      <c r="B22" s="765"/>
      <c r="C22" s="768"/>
      <c r="D22" s="770"/>
      <c r="E22" s="729"/>
      <c r="F22" s="746">
        <f>F16+F19</f>
        <v>23618182</v>
      </c>
      <c r="G22" s="15" t="s">
        <v>24</v>
      </c>
      <c r="H22" s="16"/>
      <c r="I22" s="17"/>
      <c r="J22" s="18">
        <f t="shared" si="0"/>
        <v>0</v>
      </c>
      <c r="K22" s="18"/>
      <c r="L22" s="18"/>
      <c r="M22" s="18"/>
      <c r="N22" s="18"/>
      <c r="O22" s="18"/>
      <c r="P22" s="18"/>
      <c r="Q22" s="18"/>
      <c r="R22" s="18"/>
      <c r="S22" s="19"/>
      <c r="T22" s="744"/>
    </row>
    <row r="23" spans="1:20" ht="13.5" thickBot="1">
      <c r="A23" s="763"/>
      <c r="B23" s="765"/>
      <c r="C23" s="768"/>
      <c r="D23" s="770"/>
      <c r="E23" s="729"/>
      <c r="F23" s="731"/>
      <c r="G23" s="15" t="s">
        <v>25</v>
      </c>
      <c r="H23" s="22">
        <f>H15+H17+H19+H21</f>
        <v>0</v>
      </c>
      <c r="I23" s="23">
        <f>I15+I17+I19+I21</f>
        <v>0</v>
      </c>
      <c r="J23" s="24">
        <f t="shared" si="0"/>
        <v>0</v>
      </c>
      <c r="K23" s="24">
        <f aca="true" t="shared" si="3" ref="K23:S23">K15+K17+K19+K21</f>
        <v>0</v>
      </c>
      <c r="L23" s="24">
        <f t="shared" si="3"/>
        <v>0</v>
      </c>
      <c r="M23" s="24">
        <f t="shared" si="3"/>
        <v>0</v>
      </c>
      <c r="N23" s="24">
        <f t="shared" si="3"/>
        <v>0</v>
      </c>
      <c r="O23" s="24">
        <f t="shared" si="3"/>
        <v>0</v>
      </c>
      <c r="P23" s="24">
        <f t="shared" si="3"/>
        <v>0</v>
      </c>
      <c r="Q23" s="24">
        <f t="shared" si="3"/>
        <v>0</v>
      </c>
      <c r="R23" s="24">
        <f t="shared" si="3"/>
        <v>0</v>
      </c>
      <c r="S23" s="25">
        <f t="shared" si="3"/>
        <v>0</v>
      </c>
      <c r="T23" s="744"/>
    </row>
    <row r="24" spans="1:20" ht="18.75" customHeight="1" thickBot="1">
      <c r="A24" s="763"/>
      <c r="B24" s="766"/>
      <c r="C24" s="769"/>
      <c r="D24" s="770"/>
      <c r="E24" s="730"/>
      <c r="F24" s="732"/>
      <c r="G24" s="36" t="s">
        <v>26</v>
      </c>
      <c r="H24" s="37">
        <f>H16+H18+H20+H22</f>
        <v>1443</v>
      </c>
      <c r="I24" s="28">
        <f>I16+I18+I20+I22</f>
        <v>432556</v>
      </c>
      <c r="J24" s="29">
        <f t="shared" si="0"/>
        <v>433999</v>
      </c>
      <c r="K24" s="29">
        <f aca="true" t="shared" si="4" ref="K24:S24">K16+K18+K20+K22</f>
        <v>12324237</v>
      </c>
      <c r="L24" s="29">
        <f t="shared" si="4"/>
        <v>5511255</v>
      </c>
      <c r="M24" s="29">
        <f t="shared" si="4"/>
        <v>4914692</v>
      </c>
      <c r="N24" s="29">
        <f t="shared" si="4"/>
        <v>0</v>
      </c>
      <c r="O24" s="29">
        <f t="shared" si="4"/>
        <v>0</v>
      </c>
      <c r="P24" s="29">
        <f t="shared" si="4"/>
        <v>0</v>
      </c>
      <c r="Q24" s="29">
        <f t="shared" si="4"/>
        <v>0</v>
      </c>
      <c r="R24" s="29">
        <f t="shared" si="4"/>
        <v>0</v>
      </c>
      <c r="S24" s="38">
        <f t="shared" si="4"/>
        <v>0</v>
      </c>
      <c r="T24" s="772"/>
    </row>
    <row r="25" spans="1:20" ht="12.75" customHeight="1" thickBot="1">
      <c r="A25" s="724">
        <v>3</v>
      </c>
      <c r="B25" s="764" t="s">
        <v>28</v>
      </c>
      <c r="C25" s="767">
        <v>60015</v>
      </c>
      <c r="D25" s="770" t="s">
        <v>13</v>
      </c>
      <c r="E25" s="733">
        <v>2009</v>
      </c>
      <c r="F25" s="8" t="s">
        <v>14</v>
      </c>
      <c r="G25" s="32" t="s">
        <v>15</v>
      </c>
      <c r="H25" s="33"/>
      <c r="I25" s="11"/>
      <c r="J25" s="34">
        <f t="shared" si="0"/>
        <v>0</v>
      </c>
      <c r="K25" s="34"/>
      <c r="L25" s="34"/>
      <c r="M25" s="34"/>
      <c r="N25" s="34"/>
      <c r="O25" s="34"/>
      <c r="P25" s="34"/>
      <c r="Q25" s="34"/>
      <c r="R25" s="34"/>
      <c r="S25" s="35"/>
      <c r="T25" s="743">
        <f>L33+M33+N33+O33+P33+Q33+R33+L34+M34+N34+O34+P34+Q34+S33+S34+R34</f>
        <v>43607358</v>
      </c>
    </row>
    <row r="26" spans="1:20" ht="13.5" thickBot="1">
      <c r="A26" s="763"/>
      <c r="B26" s="765"/>
      <c r="C26" s="768"/>
      <c r="D26" s="770"/>
      <c r="E26" s="729"/>
      <c r="F26" s="746">
        <f>SUM(H33:S33)</f>
        <v>0</v>
      </c>
      <c r="G26" s="15" t="s">
        <v>16</v>
      </c>
      <c r="H26" s="16">
        <v>370050</v>
      </c>
      <c r="I26" s="17"/>
      <c r="J26" s="18">
        <f t="shared" si="0"/>
        <v>370050</v>
      </c>
      <c r="K26" s="18">
        <f>3857250+650000</f>
        <v>4507250</v>
      </c>
      <c r="L26" s="18">
        <v>4349100</v>
      </c>
      <c r="M26" s="18">
        <v>2181600</v>
      </c>
      <c r="N26" s="18">
        <v>10404</v>
      </c>
      <c r="O26" s="18"/>
      <c r="P26" s="18"/>
      <c r="Q26" s="18"/>
      <c r="R26" s="18"/>
      <c r="S26" s="19"/>
      <c r="T26" s="744"/>
    </row>
    <row r="27" spans="1:20" ht="13.5" thickBot="1">
      <c r="A27" s="763"/>
      <c r="B27" s="765"/>
      <c r="C27" s="768"/>
      <c r="D27" s="770"/>
      <c r="E27" s="729"/>
      <c r="F27" s="728"/>
      <c r="G27" s="15" t="s">
        <v>17</v>
      </c>
      <c r="H27" s="16"/>
      <c r="I27" s="17"/>
      <c r="J27" s="18">
        <f t="shared" si="0"/>
        <v>0</v>
      </c>
      <c r="K27" s="18"/>
      <c r="L27" s="18"/>
      <c r="M27" s="18"/>
      <c r="N27" s="18"/>
      <c r="O27" s="18"/>
      <c r="P27" s="18"/>
      <c r="Q27" s="18"/>
      <c r="R27" s="18"/>
      <c r="S27" s="19"/>
      <c r="T27" s="744"/>
    </row>
    <row r="28" spans="1:20" ht="13.5" thickBot="1">
      <c r="A28" s="763"/>
      <c r="B28" s="765"/>
      <c r="C28" s="768"/>
      <c r="D28" s="770"/>
      <c r="E28" s="729"/>
      <c r="F28" s="21" t="s">
        <v>18</v>
      </c>
      <c r="G28" s="15" t="s">
        <v>19</v>
      </c>
      <c r="H28" s="16"/>
      <c r="I28" s="17"/>
      <c r="J28" s="18">
        <f t="shared" si="0"/>
        <v>0</v>
      </c>
      <c r="K28" s="18"/>
      <c r="L28" s="18"/>
      <c r="M28" s="18"/>
      <c r="N28" s="18"/>
      <c r="O28" s="18"/>
      <c r="P28" s="18"/>
      <c r="Q28" s="18"/>
      <c r="R28" s="18"/>
      <c r="S28" s="19"/>
      <c r="T28" s="744"/>
    </row>
    <row r="29" spans="1:20" ht="13.5" thickBot="1">
      <c r="A29" s="763"/>
      <c r="B29" s="765"/>
      <c r="C29" s="768"/>
      <c r="D29" s="770"/>
      <c r="E29" s="729"/>
      <c r="F29" s="746">
        <f>SUM(H34:S34)</f>
        <v>74906358</v>
      </c>
      <c r="G29" s="15" t="s">
        <v>20</v>
      </c>
      <c r="H29" s="16"/>
      <c r="I29" s="17"/>
      <c r="J29" s="18">
        <f t="shared" si="0"/>
        <v>0</v>
      </c>
      <c r="K29" s="18"/>
      <c r="L29" s="18"/>
      <c r="M29" s="18"/>
      <c r="N29" s="18"/>
      <c r="O29" s="18"/>
      <c r="P29" s="18"/>
      <c r="Q29" s="18"/>
      <c r="R29" s="18"/>
      <c r="S29" s="19"/>
      <c r="T29" s="744"/>
    </row>
    <row r="30" spans="1:20" ht="13.5" thickBot="1">
      <c r="A30" s="763"/>
      <c r="B30" s="765"/>
      <c r="C30" s="768"/>
      <c r="D30" s="770"/>
      <c r="E30" s="729">
        <v>2014</v>
      </c>
      <c r="F30" s="728"/>
      <c r="G30" s="15" t="s">
        <v>21</v>
      </c>
      <c r="H30" s="16">
        <v>2096950</v>
      </c>
      <c r="I30" s="17"/>
      <c r="J30" s="18">
        <f t="shared" si="0"/>
        <v>2096950</v>
      </c>
      <c r="K30" s="18">
        <v>21857750</v>
      </c>
      <c r="L30" s="18">
        <v>24644900</v>
      </c>
      <c r="M30" s="18">
        <v>12362400</v>
      </c>
      <c r="N30" s="18">
        <v>58954</v>
      </c>
      <c r="O30" s="18"/>
      <c r="P30" s="18"/>
      <c r="Q30" s="18"/>
      <c r="R30" s="18"/>
      <c r="S30" s="19"/>
      <c r="T30" s="744"/>
    </row>
    <row r="31" spans="1:20" ht="13.5" thickBot="1">
      <c r="A31" s="763"/>
      <c r="B31" s="765"/>
      <c r="C31" s="768"/>
      <c r="D31" s="770"/>
      <c r="E31" s="729"/>
      <c r="F31" s="21" t="s">
        <v>22</v>
      </c>
      <c r="G31" s="15" t="s">
        <v>23</v>
      </c>
      <c r="H31" s="16"/>
      <c r="I31" s="17"/>
      <c r="J31" s="18">
        <f t="shared" si="0"/>
        <v>0</v>
      </c>
      <c r="K31" s="18"/>
      <c r="L31" s="18"/>
      <c r="M31" s="18"/>
      <c r="N31" s="18"/>
      <c r="O31" s="18"/>
      <c r="P31" s="18"/>
      <c r="Q31" s="18"/>
      <c r="R31" s="18"/>
      <c r="S31" s="19"/>
      <c r="T31" s="744"/>
    </row>
    <row r="32" spans="1:20" ht="13.5" thickBot="1">
      <c r="A32" s="763"/>
      <c r="B32" s="765"/>
      <c r="C32" s="768"/>
      <c r="D32" s="770"/>
      <c r="E32" s="729"/>
      <c r="F32" s="746">
        <f>F26+F29</f>
        <v>74906358</v>
      </c>
      <c r="G32" s="15" t="s">
        <v>24</v>
      </c>
      <c r="H32" s="16"/>
      <c r="I32" s="17"/>
      <c r="J32" s="18">
        <f t="shared" si="0"/>
        <v>0</v>
      </c>
      <c r="K32" s="18"/>
      <c r="L32" s="18"/>
      <c r="M32" s="18"/>
      <c r="N32" s="18"/>
      <c r="O32" s="18"/>
      <c r="P32" s="18"/>
      <c r="Q32" s="18"/>
      <c r="R32" s="18"/>
      <c r="S32" s="19"/>
      <c r="T32" s="744"/>
    </row>
    <row r="33" spans="1:20" ht="13.5" thickBot="1">
      <c r="A33" s="763"/>
      <c r="B33" s="765"/>
      <c r="C33" s="768"/>
      <c r="D33" s="770"/>
      <c r="E33" s="729"/>
      <c r="F33" s="731"/>
      <c r="G33" s="15" t="s">
        <v>25</v>
      </c>
      <c r="H33" s="22">
        <f>H25+H27+H29+H31</f>
        <v>0</v>
      </c>
      <c r="I33" s="23">
        <f>I25+I27+I29+I31</f>
        <v>0</v>
      </c>
      <c r="J33" s="24">
        <f t="shared" si="0"/>
        <v>0</v>
      </c>
      <c r="K33" s="24">
        <f aca="true" t="shared" si="5" ref="K33:S33">K25+K27+K29+K31</f>
        <v>0</v>
      </c>
      <c r="L33" s="24">
        <f t="shared" si="5"/>
        <v>0</v>
      </c>
      <c r="M33" s="24">
        <f t="shared" si="5"/>
        <v>0</v>
      </c>
      <c r="N33" s="24">
        <f t="shared" si="5"/>
        <v>0</v>
      </c>
      <c r="O33" s="24">
        <f t="shared" si="5"/>
        <v>0</v>
      </c>
      <c r="P33" s="24">
        <f t="shared" si="5"/>
        <v>0</v>
      </c>
      <c r="Q33" s="24">
        <f t="shared" si="5"/>
        <v>0</v>
      </c>
      <c r="R33" s="24">
        <f t="shared" si="5"/>
        <v>0</v>
      </c>
      <c r="S33" s="25">
        <f t="shared" si="5"/>
        <v>0</v>
      </c>
      <c r="T33" s="744"/>
    </row>
    <row r="34" spans="1:20" ht="18.75" customHeight="1" thickBot="1">
      <c r="A34" s="725"/>
      <c r="B34" s="766"/>
      <c r="C34" s="769"/>
      <c r="D34" s="770"/>
      <c r="E34" s="730"/>
      <c r="F34" s="732"/>
      <c r="G34" s="36" t="s">
        <v>26</v>
      </c>
      <c r="H34" s="37">
        <f>H26+H28+H30+H32</f>
        <v>2467000</v>
      </c>
      <c r="I34" s="28">
        <f>I26+I28+I30+I32</f>
        <v>0</v>
      </c>
      <c r="J34" s="29">
        <f t="shared" si="0"/>
        <v>2467000</v>
      </c>
      <c r="K34" s="29">
        <f aca="true" t="shared" si="6" ref="K34:S34">K26+K28+K30+K32</f>
        <v>26365000</v>
      </c>
      <c r="L34" s="29">
        <f t="shared" si="6"/>
        <v>28994000</v>
      </c>
      <c r="M34" s="29">
        <f t="shared" si="6"/>
        <v>14544000</v>
      </c>
      <c r="N34" s="29">
        <f t="shared" si="6"/>
        <v>69358</v>
      </c>
      <c r="O34" s="29">
        <f t="shared" si="6"/>
        <v>0</v>
      </c>
      <c r="P34" s="29">
        <f t="shared" si="6"/>
        <v>0</v>
      </c>
      <c r="Q34" s="29">
        <f t="shared" si="6"/>
        <v>0</v>
      </c>
      <c r="R34" s="29">
        <f t="shared" si="6"/>
        <v>0</v>
      </c>
      <c r="S34" s="38">
        <f t="shared" si="6"/>
        <v>0</v>
      </c>
      <c r="T34" s="745"/>
    </row>
    <row r="35" spans="1:20" ht="12.75" customHeight="1" thickBot="1">
      <c r="A35" s="724">
        <v>4</v>
      </c>
      <c r="B35" s="734" t="s">
        <v>29</v>
      </c>
      <c r="C35" s="735">
        <v>90001</v>
      </c>
      <c r="D35" s="770" t="s">
        <v>13</v>
      </c>
      <c r="E35" s="727">
        <v>2009</v>
      </c>
      <c r="F35" s="8" t="s">
        <v>14</v>
      </c>
      <c r="G35" s="9" t="s">
        <v>15</v>
      </c>
      <c r="H35" s="10">
        <f>49992-49992</f>
        <v>0</v>
      </c>
      <c r="I35" s="11"/>
      <c r="J35" s="12">
        <f t="shared" si="0"/>
        <v>0</v>
      </c>
      <c r="K35" s="12"/>
      <c r="L35" s="12"/>
      <c r="M35" s="34"/>
      <c r="N35" s="34"/>
      <c r="O35" s="34"/>
      <c r="P35" s="34"/>
      <c r="Q35" s="34"/>
      <c r="R35" s="34"/>
      <c r="S35" s="35"/>
      <c r="T35" s="743">
        <f>L43+M43+N43+O43+P43+Q43+R43+L44+M44+N44+O44+P44+Q44+S43+S44+R44</f>
        <v>41476589</v>
      </c>
    </row>
    <row r="36" spans="1:20" ht="13.5" thickBot="1">
      <c r="A36" s="763"/>
      <c r="B36" s="765"/>
      <c r="C36" s="768"/>
      <c r="D36" s="770"/>
      <c r="E36" s="729"/>
      <c r="F36" s="746">
        <f>SUM(H43:S43)</f>
        <v>0</v>
      </c>
      <c r="G36" s="15" t="s">
        <v>16</v>
      </c>
      <c r="H36" s="16">
        <v>5839990</v>
      </c>
      <c r="I36" s="17"/>
      <c r="J36" s="18">
        <f t="shared" si="0"/>
        <v>5839990</v>
      </c>
      <c r="K36" s="18">
        <v>4000000</v>
      </c>
      <c r="L36" s="18">
        <v>857497</v>
      </c>
      <c r="M36" s="18"/>
      <c r="N36" s="18"/>
      <c r="O36" s="18"/>
      <c r="P36" s="18"/>
      <c r="Q36" s="18"/>
      <c r="R36" s="18"/>
      <c r="S36" s="19"/>
      <c r="T36" s="744"/>
    </row>
    <row r="37" spans="1:20" ht="13.5" thickBot="1">
      <c r="A37" s="763"/>
      <c r="B37" s="765"/>
      <c r="C37" s="768"/>
      <c r="D37" s="770"/>
      <c r="E37" s="729"/>
      <c r="F37" s="728"/>
      <c r="G37" s="15" t="s">
        <v>17</v>
      </c>
      <c r="H37" s="16"/>
      <c r="I37" s="17"/>
      <c r="J37" s="18">
        <f t="shared" si="0"/>
        <v>0</v>
      </c>
      <c r="K37" s="18"/>
      <c r="L37" s="18"/>
      <c r="M37" s="18"/>
      <c r="N37" s="18"/>
      <c r="O37" s="18"/>
      <c r="P37" s="18"/>
      <c r="Q37" s="18"/>
      <c r="R37" s="18"/>
      <c r="S37" s="19"/>
      <c r="T37" s="744"/>
    </row>
    <row r="38" spans="1:20" ht="13.5" thickBot="1">
      <c r="A38" s="763"/>
      <c r="B38" s="765"/>
      <c r="C38" s="768"/>
      <c r="D38" s="770"/>
      <c r="E38" s="729"/>
      <c r="F38" s="21" t="s">
        <v>18</v>
      </c>
      <c r="G38" s="15" t="s">
        <v>19</v>
      </c>
      <c r="H38" s="16"/>
      <c r="I38" s="17"/>
      <c r="J38" s="18">
        <f t="shared" si="0"/>
        <v>0</v>
      </c>
      <c r="K38" s="18"/>
      <c r="L38" s="18"/>
      <c r="M38" s="18"/>
      <c r="N38" s="18"/>
      <c r="O38" s="18"/>
      <c r="P38" s="18"/>
      <c r="Q38" s="18"/>
      <c r="R38" s="18"/>
      <c r="S38" s="19"/>
      <c r="T38" s="744"/>
    </row>
    <row r="39" spans="1:20" ht="13.5" thickBot="1">
      <c r="A39" s="763"/>
      <c r="B39" s="765"/>
      <c r="C39" s="768"/>
      <c r="D39" s="770"/>
      <c r="E39" s="729"/>
      <c r="F39" s="746">
        <f>SUM(H44:S44)</f>
        <v>77156569</v>
      </c>
      <c r="G39" s="15" t="s">
        <v>20</v>
      </c>
      <c r="H39" s="16"/>
      <c r="I39" s="17"/>
      <c r="J39" s="18">
        <f t="shared" si="0"/>
        <v>0</v>
      </c>
      <c r="K39" s="18"/>
      <c r="L39" s="18"/>
      <c r="M39" s="18"/>
      <c r="N39" s="18"/>
      <c r="O39" s="18"/>
      <c r="P39" s="18"/>
      <c r="Q39" s="18"/>
      <c r="R39" s="18"/>
      <c r="S39" s="19"/>
      <c r="T39" s="744"/>
    </row>
    <row r="40" spans="1:20" ht="13.5" thickBot="1">
      <c r="A40" s="763"/>
      <c r="B40" s="765"/>
      <c r="C40" s="768"/>
      <c r="D40" s="770"/>
      <c r="E40" s="729">
        <v>2012</v>
      </c>
      <c r="F40" s="728"/>
      <c r="G40" s="15" t="s">
        <v>21</v>
      </c>
      <c r="H40" s="16"/>
      <c r="I40" s="17"/>
      <c r="J40" s="18">
        <f t="shared" si="0"/>
        <v>0</v>
      </c>
      <c r="K40" s="18">
        <v>20000000</v>
      </c>
      <c r="L40" s="18">
        <v>40619092</v>
      </c>
      <c r="M40" s="18"/>
      <c r="N40" s="18"/>
      <c r="O40" s="18"/>
      <c r="P40" s="18"/>
      <c r="Q40" s="18"/>
      <c r="R40" s="18"/>
      <c r="S40" s="19"/>
      <c r="T40" s="744"/>
    </row>
    <row r="41" spans="1:20" ht="13.5" thickBot="1">
      <c r="A41" s="763"/>
      <c r="B41" s="765"/>
      <c r="C41" s="768"/>
      <c r="D41" s="770"/>
      <c r="E41" s="729"/>
      <c r="F41" s="21" t="s">
        <v>22</v>
      </c>
      <c r="G41" s="15" t="s">
        <v>23</v>
      </c>
      <c r="H41" s="16"/>
      <c r="I41" s="17"/>
      <c r="J41" s="18">
        <f t="shared" si="0"/>
        <v>0</v>
      </c>
      <c r="K41" s="18"/>
      <c r="L41" s="18"/>
      <c r="M41" s="18"/>
      <c r="N41" s="18"/>
      <c r="O41" s="18"/>
      <c r="P41" s="18"/>
      <c r="Q41" s="18"/>
      <c r="R41" s="18"/>
      <c r="S41" s="19"/>
      <c r="T41" s="744"/>
    </row>
    <row r="42" spans="1:20" ht="13.5" thickBot="1">
      <c r="A42" s="763"/>
      <c r="B42" s="765"/>
      <c r="C42" s="768"/>
      <c r="D42" s="770"/>
      <c r="E42" s="729"/>
      <c r="F42" s="746">
        <f>F36+F39</f>
        <v>77156569</v>
      </c>
      <c r="G42" s="15" t="s">
        <v>24</v>
      </c>
      <c r="H42" s="16"/>
      <c r="I42" s="17"/>
      <c r="J42" s="18">
        <f t="shared" si="0"/>
        <v>0</v>
      </c>
      <c r="K42" s="18"/>
      <c r="L42" s="18"/>
      <c r="M42" s="18"/>
      <c r="N42" s="18"/>
      <c r="O42" s="18"/>
      <c r="P42" s="18"/>
      <c r="Q42" s="18"/>
      <c r="R42" s="18"/>
      <c r="S42" s="19"/>
      <c r="T42" s="744"/>
    </row>
    <row r="43" spans="1:20" ht="13.5" thickBot="1">
      <c r="A43" s="763"/>
      <c r="B43" s="765"/>
      <c r="C43" s="768"/>
      <c r="D43" s="770"/>
      <c r="E43" s="729"/>
      <c r="F43" s="731"/>
      <c r="G43" s="15" t="s">
        <v>25</v>
      </c>
      <c r="H43" s="22">
        <f>H35+H37+H39+H41</f>
        <v>0</v>
      </c>
      <c r="I43" s="23">
        <f>I35+I37+I39+I41</f>
        <v>0</v>
      </c>
      <c r="J43" s="24">
        <f t="shared" si="0"/>
        <v>0</v>
      </c>
      <c r="K43" s="24">
        <f aca="true" t="shared" si="7" ref="K43:S43">K35+K37+K39+K41</f>
        <v>0</v>
      </c>
      <c r="L43" s="24">
        <f t="shared" si="7"/>
        <v>0</v>
      </c>
      <c r="M43" s="24">
        <f t="shared" si="7"/>
        <v>0</v>
      </c>
      <c r="N43" s="24">
        <f t="shared" si="7"/>
        <v>0</v>
      </c>
      <c r="O43" s="24">
        <f t="shared" si="7"/>
        <v>0</v>
      </c>
      <c r="P43" s="24">
        <f t="shared" si="7"/>
        <v>0</v>
      </c>
      <c r="Q43" s="24">
        <f t="shared" si="7"/>
        <v>0</v>
      </c>
      <c r="R43" s="24">
        <f t="shared" si="7"/>
        <v>0</v>
      </c>
      <c r="S43" s="25">
        <f t="shared" si="7"/>
        <v>0</v>
      </c>
      <c r="T43" s="744"/>
    </row>
    <row r="44" spans="1:20" ht="13.5" thickBot="1">
      <c r="A44" s="763"/>
      <c r="B44" s="778"/>
      <c r="C44" s="736"/>
      <c r="D44" s="770"/>
      <c r="E44" s="723"/>
      <c r="F44" s="732"/>
      <c r="G44" s="36" t="s">
        <v>26</v>
      </c>
      <c r="H44" s="27">
        <f>H36+H38+H40+H42</f>
        <v>5839990</v>
      </c>
      <c r="I44" s="28">
        <f>I36+I38+I40+I42</f>
        <v>0</v>
      </c>
      <c r="J44" s="29">
        <f t="shared" si="0"/>
        <v>5839990</v>
      </c>
      <c r="K44" s="29">
        <f aca="true" t="shared" si="8" ref="K44:S44">K36+K38+K40+K42</f>
        <v>24000000</v>
      </c>
      <c r="L44" s="29">
        <f t="shared" si="8"/>
        <v>41476589</v>
      </c>
      <c r="M44" s="29">
        <f t="shared" si="8"/>
        <v>0</v>
      </c>
      <c r="N44" s="29">
        <f t="shared" si="8"/>
        <v>0</v>
      </c>
      <c r="O44" s="29">
        <f t="shared" si="8"/>
        <v>0</v>
      </c>
      <c r="P44" s="29">
        <f t="shared" si="8"/>
        <v>0</v>
      </c>
      <c r="Q44" s="29">
        <f t="shared" si="8"/>
        <v>0</v>
      </c>
      <c r="R44" s="29">
        <f t="shared" si="8"/>
        <v>0</v>
      </c>
      <c r="S44" s="38">
        <f t="shared" si="8"/>
        <v>0</v>
      </c>
      <c r="T44" s="745"/>
    </row>
    <row r="45" spans="1:20" ht="12.75" customHeight="1" thickBot="1">
      <c r="A45" s="724">
        <v>5</v>
      </c>
      <c r="B45" s="720" t="s">
        <v>30</v>
      </c>
      <c r="C45" s="767">
        <v>90095</v>
      </c>
      <c r="D45" s="770" t="s">
        <v>13</v>
      </c>
      <c r="E45" s="733">
        <v>2009</v>
      </c>
      <c r="F45" s="8" t="s">
        <v>14</v>
      </c>
      <c r="G45" s="32" t="s">
        <v>15</v>
      </c>
      <c r="H45" s="33">
        <f>15000-15000</f>
        <v>0</v>
      </c>
      <c r="I45" s="11">
        <v>15000</v>
      </c>
      <c r="J45" s="12">
        <f t="shared" si="0"/>
        <v>15000</v>
      </c>
      <c r="K45" s="12"/>
      <c r="L45" s="12"/>
      <c r="M45" s="34"/>
      <c r="N45" s="34"/>
      <c r="O45" s="34"/>
      <c r="P45" s="34"/>
      <c r="Q45" s="34"/>
      <c r="R45" s="34"/>
      <c r="S45" s="35"/>
      <c r="T45" s="743">
        <f>L53+M53+N53+O53+P53+Q53+R53+L54+M54+N54+O54+P54+Q54+S53+S54+R54</f>
        <v>0</v>
      </c>
    </row>
    <row r="46" spans="1:20" ht="13.5" thickBot="1">
      <c r="A46" s="763"/>
      <c r="B46" s="721"/>
      <c r="C46" s="768"/>
      <c r="D46" s="770"/>
      <c r="E46" s="729"/>
      <c r="F46" s="746">
        <f>SUM(H53:S53)</f>
        <v>60000</v>
      </c>
      <c r="G46" s="15" t="s">
        <v>16</v>
      </c>
      <c r="H46" s="16">
        <f>9513+2098514+463264+312849-312849-2098514</f>
        <v>472777</v>
      </c>
      <c r="I46" s="17">
        <f>312849+2098514</f>
        <v>2411363</v>
      </c>
      <c r="J46" s="18">
        <f t="shared" si="0"/>
        <v>2884140</v>
      </c>
      <c r="K46" s="18">
        <f>3859301+651451</f>
        <v>4510752</v>
      </c>
      <c r="L46" s="18"/>
      <c r="M46" s="18"/>
      <c r="N46" s="18"/>
      <c r="O46" s="18"/>
      <c r="P46" s="18"/>
      <c r="Q46" s="18"/>
      <c r="R46" s="18"/>
      <c r="S46" s="19"/>
      <c r="T46" s="744"/>
    </row>
    <row r="47" spans="1:20" ht="13.5" thickBot="1">
      <c r="A47" s="763"/>
      <c r="B47" s="721"/>
      <c r="C47" s="768"/>
      <c r="D47" s="770"/>
      <c r="E47" s="729"/>
      <c r="F47" s="728"/>
      <c r="G47" s="15" t="s">
        <v>17</v>
      </c>
      <c r="H47" s="16"/>
      <c r="I47" s="17"/>
      <c r="J47" s="18">
        <f t="shared" si="0"/>
        <v>0</v>
      </c>
      <c r="K47" s="18"/>
      <c r="L47" s="18"/>
      <c r="M47" s="18"/>
      <c r="N47" s="18"/>
      <c r="O47" s="18"/>
      <c r="P47" s="18"/>
      <c r="Q47" s="18"/>
      <c r="R47" s="18"/>
      <c r="S47" s="19"/>
      <c r="T47" s="744"/>
    </row>
    <row r="48" spans="1:20" ht="13.5" thickBot="1">
      <c r="A48" s="763"/>
      <c r="B48" s="721"/>
      <c r="C48" s="768"/>
      <c r="D48" s="770"/>
      <c r="E48" s="729"/>
      <c r="F48" s="21" t="s">
        <v>18</v>
      </c>
      <c r="G48" s="15" t="s">
        <v>19</v>
      </c>
      <c r="H48" s="16"/>
      <c r="I48" s="17"/>
      <c r="J48" s="18">
        <f t="shared" si="0"/>
        <v>0</v>
      </c>
      <c r="K48" s="18"/>
      <c r="L48" s="18"/>
      <c r="M48" s="18"/>
      <c r="N48" s="18"/>
      <c r="O48" s="18"/>
      <c r="P48" s="18"/>
      <c r="Q48" s="18"/>
      <c r="R48" s="18"/>
      <c r="S48" s="19"/>
      <c r="T48" s="744"/>
    </row>
    <row r="49" spans="1:20" ht="13.5" thickBot="1">
      <c r="A49" s="763"/>
      <c r="B49" s="721"/>
      <c r="C49" s="768"/>
      <c r="D49" s="770"/>
      <c r="E49" s="729"/>
      <c r="F49" s="746">
        <f>SUM(H54:S54)</f>
        <v>18354384</v>
      </c>
      <c r="G49" s="15" t="s">
        <v>20</v>
      </c>
      <c r="H49" s="16">
        <f>15000-15000</f>
        <v>0</v>
      </c>
      <c r="I49" s="17">
        <v>15000</v>
      </c>
      <c r="J49" s="18">
        <f t="shared" si="0"/>
        <v>15000</v>
      </c>
      <c r="K49" s="18"/>
      <c r="L49" s="18"/>
      <c r="M49" s="18"/>
      <c r="N49" s="18"/>
      <c r="O49" s="18"/>
      <c r="P49" s="18"/>
      <c r="Q49" s="18"/>
      <c r="R49" s="18"/>
      <c r="S49" s="19"/>
      <c r="T49" s="744"/>
    </row>
    <row r="50" spans="1:20" ht="13.5" thickBot="1">
      <c r="A50" s="763"/>
      <c r="B50" s="721"/>
      <c r="C50" s="768"/>
      <c r="D50" s="770"/>
      <c r="E50" s="729">
        <v>2011</v>
      </c>
      <c r="F50" s="728"/>
      <c r="G50" s="15" t="s">
        <v>21</v>
      </c>
      <c r="H50" s="16">
        <f>9512+2098514-2098514</f>
        <v>9512</v>
      </c>
      <c r="I50" s="17">
        <v>2098514</v>
      </c>
      <c r="J50" s="18">
        <f t="shared" si="0"/>
        <v>2108026</v>
      </c>
      <c r="K50" s="18">
        <v>3859300</v>
      </c>
      <c r="L50" s="18"/>
      <c r="M50" s="18"/>
      <c r="N50" s="18"/>
      <c r="O50" s="18"/>
      <c r="P50" s="18"/>
      <c r="Q50" s="18"/>
      <c r="R50" s="18"/>
      <c r="S50" s="19"/>
      <c r="T50" s="744"/>
    </row>
    <row r="51" spans="1:20" ht="13.5" thickBot="1">
      <c r="A51" s="763"/>
      <c r="B51" s="721"/>
      <c r="C51" s="768"/>
      <c r="D51" s="770"/>
      <c r="E51" s="729"/>
      <c r="F51" s="21" t="s">
        <v>22</v>
      </c>
      <c r="G51" s="15" t="s">
        <v>23</v>
      </c>
      <c r="H51" s="16"/>
      <c r="I51" s="17"/>
      <c r="J51" s="18">
        <f t="shared" si="0"/>
        <v>0</v>
      </c>
      <c r="K51" s="18"/>
      <c r="L51" s="18"/>
      <c r="M51" s="18"/>
      <c r="N51" s="18"/>
      <c r="O51" s="18"/>
      <c r="P51" s="18"/>
      <c r="Q51" s="18"/>
      <c r="R51" s="18"/>
      <c r="S51" s="19"/>
      <c r="T51" s="744"/>
    </row>
    <row r="52" spans="1:20" ht="13.5" thickBot="1">
      <c r="A52" s="763"/>
      <c r="B52" s="721"/>
      <c r="C52" s="768"/>
      <c r="D52" s="770"/>
      <c r="E52" s="729"/>
      <c r="F52" s="746">
        <f>F46+F49</f>
        <v>18414384</v>
      </c>
      <c r="G52" s="15" t="s">
        <v>24</v>
      </c>
      <c r="H52" s="16"/>
      <c r="I52" s="17"/>
      <c r="J52" s="18">
        <f t="shared" si="0"/>
        <v>0</v>
      </c>
      <c r="K52" s="18"/>
      <c r="L52" s="18"/>
      <c r="M52" s="18"/>
      <c r="N52" s="18"/>
      <c r="O52" s="18"/>
      <c r="P52" s="18"/>
      <c r="Q52" s="18"/>
      <c r="R52" s="18"/>
      <c r="S52" s="19"/>
      <c r="T52" s="744"/>
    </row>
    <row r="53" spans="1:20" ht="13.5" thickBot="1">
      <c r="A53" s="763"/>
      <c r="B53" s="721"/>
      <c r="C53" s="768"/>
      <c r="D53" s="770"/>
      <c r="E53" s="729"/>
      <c r="F53" s="731"/>
      <c r="G53" s="15" t="s">
        <v>25</v>
      </c>
      <c r="H53" s="22">
        <f>H45+H47+H49+H51</f>
        <v>0</v>
      </c>
      <c r="I53" s="23">
        <f>I45+I47+I49+I51</f>
        <v>30000</v>
      </c>
      <c r="J53" s="24">
        <f t="shared" si="0"/>
        <v>30000</v>
      </c>
      <c r="K53" s="24">
        <f aca="true" t="shared" si="9" ref="K53:S53">K45+K47+K49+K51</f>
        <v>0</v>
      </c>
      <c r="L53" s="24">
        <f t="shared" si="9"/>
        <v>0</v>
      </c>
      <c r="M53" s="24">
        <f t="shared" si="9"/>
        <v>0</v>
      </c>
      <c r="N53" s="24">
        <f t="shared" si="9"/>
        <v>0</v>
      </c>
      <c r="O53" s="24">
        <f t="shared" si="9"/>
        <v>0</v>
      </c>
      <c r="P53" s="24">
        <f t="shared" si="9"/>
        <v>0</v>
      </c>
      <c r="Q53" s="24">
        <f t="shared" si="9"/>
        <v>0</v>
      </c>
      <c r="R53" s="24">
        <f t="shared" si="9"/>
        <v>0</v>
      </c>
      <c r="S53" s="25">
        <f t="shared" si="9"/>
        <v>0</v>
      </c>
      <c r="T53" s="744"/>
    </row>
    <row r="54" spans="1:20" ht="13.5" thickBot="1">
      <c r="A54" s="763"/>
      <c r="B54" s="719"/>
      <c r="C54" s="769"/>
      <c r="D54" s="770"/>
      <c r="E54" s="730"/>
      <c r="F54" s="732"/>
      <c r="G54" s="36" t="s">
        <v>26</v>
      </c>
      <c r="H54" s="37">
        <f>H46+H48+H50+H52</f>
        <v>482289</v>
      </c>
      <c r="I54" s="28">
        <f>I46+I48+I50+I52</f>
        <v>4509877</v>
      </c>
      <c r="J54" s="29">
        <f t="shared" si="0"/>
        <v>4992166</v>
      </c>
      <c r="K54" s="29">
        <f aca="true" t="shared" si="10" ref="K54:S54">K46+K48+K50+K52</f>
        <v>8370052</v>
      </c>
      <c r="L54" s="29">
        <f t="shared" si="10"/>
        <v>0</v>
      </c>
      <c r="M54" s="29">
        <f t="shared" si="10"/>
        <v>0</v>
      </c>
      <c r="N54" s="29">
        <f t="shared" si="10"/>
        <v>0</v>
      </c>
      <c r="O54" s="29">
        <f t="shared" si="10"/>
        <v>0</v>
      </c>
      <c r="P54" s="29">
        <f t="shared" si="10"/>
        <v>0</v>
      </c>
      <c r="Q54" s="29">
        <f t="shared" si="10"/>
        <v>0</v>
      </c>
      <c r="R54" s="29">
        <f t="shared" si="10"/>
        <v>0</v>
      </c>
      <c r="S54" s="38">
        <f t="shared" si="10"/>
        <v>0</v>
      </c>
      <c r="T54" s="745"/>
    </row>
    <row r="55" spans="1:20" ht="12.75" customHeight="1" thickBot="1">
      <c r="A55" s="724">
        <v>6</v>
      </c>
      <c r="B55" s="764" t="s">
        <v>31</v>
      </c>
      <c r="C55" s="767" t="s">
        <v>32</v>
      </c>
      <c r="D55" s="770" t="s">
        <v>13</v>
      </c>
      <c r="E55" s="733">
        <v>2010</v>
      </c>
      <c r="F55" s="8" t="s">
        <v>14</v>
      </c>
      <c r="G55" s="32" t="s">
        <v>15</v>
      </c>
      <c r="H55" s="33">
        <f>49992-49992</f>
        <v>0</v>
      </c>
      <c r="I55" s="11">
        <v>49992</v>
      </c>
      <c r="J55" s="34">
        <f t="shared" si="0"/>
        <v>49992</v>
      </c>
      <c r="K55" s="34">
        <v>337120</v>
      </c>
      <c r="L55" s="34">
        <v>1600765</v>
      </c>
      <c r="M55" s="34">
        <v>241644</v>
      </c>
      <c r="N55" s="34"/>
      <c r="O55" s="34"/>
      <c r="P55" s="34"/>
      <c r="Q55" s="34"/>
      <c r="R55" s="34"/>
      <c r="S55" s="35"/>
      <c r="T55" s="743">
        <f>L63+M63+N63+O63+P63+Q63+R63+L64+M64+N64+O64+P64+Q64+S63+S64+R64</f>
        <v>15345890</v>
      </c>
    </row>
    <row r="56" spans="1:20" ht="13.5" thickBot="1">
      <c r="A56" s="763"/>
      <c r="B56" s="765"/>
      <c r="C56" s="768"/>
      <c r="D56" s="770"/>
      <c r="E56" s="729"/>
      <c r="F56" s="746">
        <f>SUM(H63:S63)</f>
        <v>9118008</v>
      </c>
      <c r="G56" s="15" t="s">
        <v>16</v>
      </c>
      <c r="H56" s="16"/>
      <c r="I56" s="17"/>
      <c r="J56" s="18">
        <f t="shared" si="0"/>
        <v>0</v>
      </c>
      <c r="K56" s="18">
        <f>30409+361838+461812+217885</f>
        <v>1071944</v>
      </c>
      <c r="L56" s="18">
        <f>359900+744977+772193</f>
        <v>1877070</v>
      </c>
      <c r="M56" s="18">
        <v>117000</v>
      </c>
      <c r="N56" s="18"/>
      <c r="O56" s="18"/>
      <c r="P56" s="18"/>
      <c r="Q56" s="18"/>
      <c r="R56" s="18"/>
      <c r="S56" s="19"/>
      <c r="T56" s="744"/>
    </row>
    <row r="57" spans="1:20" ht="13.5" thickBot="1">
      <c r="A57" s="763"/>
      <c r="B57" s="765"/>
      <c r="C57" s="768"/>
      <c r="D57" s="770"/>
      <c r="E57" s="729"/>
      <c r="F57" s="728"/>
      <c r="G57" s="15" t="s">
        <v>17</v>
      </c>
      <c r="H57" s="16"/>
      <c r="I57" s="17"/>
      <c r="J57" s="18">
        <f t="shared" si="0"/>
        <v>0</v>
      </c>
      <c r="K57" s="18"/>
      <c r="L57" s="18"/>
      <c r="M57" s="18"/>
      <c r="N57" s="18"/>
      <c r="O57" s="18"/>
      <c r="P57" s="18"/>
      <c r="Q57" s="18"/>
      <c r="R57" s="18"/>
      <c r="S57" s="19"/>
      <c r="T57" s="744"/>
    </row>
    <row r="58" spans="1:20" ht="13.5" thickBot="1">
      <c r="A58" s="763"/>
      <c r="B58" s="765"/>
      <c r="C58" s="768"/>
      <c r="D58" s="770"/>
      <c r="E58" s="729"/>
      <c r="F58" s="21" t="s">
        <v>18</v>
      </c>
      <c r="G58" s="15" t="s">
        <v>19</v>
      </c>
      <c r="H58" s="16"/>
      <c r="I58" s="17"/>
      <c r="J58" s="18">
        <f t="shared" si="0"/>
        <v>0</v>
      </c>
      <c r="K58" s="18"/>
      <c r="L58" s="18"/>
      <c r="M58" s="18"/>
      <c r="N58" s="18"/>
      <c r="O58" s="18"/>
      <c r="P58" s="18"/>
      <c r="Q58" s="18"/>
      <c r="R58" s="18"/>
      <c r="S58" s="19"/>
      <c r="T58" s="744"/>
    </row>
    <row r="59" spans="1:20" ht="13.5" thickBot="1">
      <c r="A59" s="763"/>
      <c r="B59" s="765"/>
      <c r="C59" s="768"/>
      <c r="D59" s="770"/>
      <c r="E59" s="729"/>
      <c r="F59" s="746">
        <f>SUM(H64:S64)</f>
        <v>12264052</v>
      </c>
      <c r="G59" s="15" t="s">
        <v>20</v>
      </c>
      <c r="H59" s="16">
        <f>149973-149973</f>
        <v>0</v>
      </c>
      <c r="I59" s="17">
        <v>149973</v>
      </c>
      <c r="J59" s="18">
        <f t="shared" si="0"/>
        <v>149973</v>
      </c>
      <c r="K59" s="18">
        <v>1011347</v>
      </c>
      <c r="L59" s="18">
        <v>4802279</v>
      </c>
      <c r="M59" s="18">
        <v>724923</v>
      </c>
      <c r="N59" s="18"/>
      <c r="O59" s="18"/>
      <c r="P59" s="18"/>
      <c r="Q59" s="18"/>
      <c r="R59" s="18"/>
      <c r="S59" s="19"/>
      <c r="T59" s="744"/>
    </row>
    <row r="60" spans="1:20" ht="13.5" thickBot="1">
      <c r="A60" s="763"/>
      <c r="B60" s="765"/>
      <c r="C60" s="768"/>
      <c r="D60" s="770"/>
      <c r="E60" s="729">
        <v>2013</v>
      </c>
      <c r="F60" s="728"/>
      <c r="G60" s="15" t="s">
        <v>21</v>
      </c>
      <c r="H60" s="16"/>
      <c r="I60" s="17"/>
      <c r="J60" s="18">
        <f t="shared" si="0"/>
        <v>0</v>
      </c>
      <c r="K60" s="18">
        <f>1085512+91226+1385436+653655</f>
        <v>3215829</v>
      </c>
      <c r="L60" s="18">
        <f>1079700+2234931+2316578</f>
        <v>5631209</v>
      </c>
      <c r="M60" s="18">
        <v>351000</v>
      </c>
      <c r="N60" s="18"/>
      <c r="O60" s="18"/>
      <c r="P60" s="18"/>
      <c r="Q60" s="18"/>
      <c r="R60" s="18"/>
      <c r="S60" s="19"/>
      <c r="T60" s="744"/>
    </row>
    <row r="61" spans="1:20" ht="13.5" thickBot="1">
      <c r="A61" s="763"/>
      <c r="B61" s="765"/>
      <c r="C61" s="768"/>
      <c r="D61" s="770"/>
      <c r="E61" s="729"/>
      <c r="F61" s="21" t="s">
        <v>22</v>
      </c>
      <c r="G61" s="15" t="s">
        <v>23</v>
      </c>
      <c r="H61" s="16"/>
      <c r="I61" s="17"/>
      <c r="J61" s="18">
        <f t="shared" si="0"/>
        <v>0</v>
      </c>
      <c r="K61" s="18"/>
      <c r="L61" s="18"/>
      <c r="M61" s="18"/>
      <c r="N61" s="18"/>
      <c r="O61" s="18"/>
      <c r="P61" s="18"/>
      <c r="Q61" s="18"/>
      <c r="R61" s="18"/>
      <c r="S61" s="19"/>
      <c r="T61" s="744"/>
    </row>
    <row r="62" spans="1:20" ht="13.5" thickBot="1">
      <c r="A62" s="763"/>
      <c r="B62" s="765"/>
      <c r="C62" s="768"/>
      <c r="D62" s="770"/>
      <c r="E62" s="729"/>
      <c r="F62" s="746">
        <f>F56+F59</f>
        <v>21382060</v>
      </c>
      <c r="G62" s="15" t="s">
        <v>24</v>
      </c>
      <c r="H62" s="16"/>
      <c r="I62" s="17"/>
      <c r="J62" s="18">
        <f t="shared" si="0"/>
        <v>0</v>
      </c>
      <c r="K62" s="18"/>
      <c r="L62" s="18"/>
      <c r="M62" s="18"/>
      <c r="N62" s="18"/>
      <c r="O62" s="18"/>
      <c r="P62" s="18"/>
      <c r="Q62" s="18"/>
      <c r="R62" s="18"/>
      <c r="S62" s="19"/>
      <c r="T62" s="744"/>
    </row>
    <row r="63" spans="1:20" ht="13.5" thickBot="1">
      <c r="A63" s="763"/>
      <c r="B63" s="765"/>
      <c r="C63" s="768"/>
      <c r="D63" s="770"/>
      <c r="E63" s="729"/>
      <c r="F63" s="731"/>
      <c r="G63" s="15" t="s">
        <v>25</v>
      </c>
      <c r="H63" s="22">
        <f>H55+H57+H59+H61</f>
        <v>0</v>
      </c>
      <c r="I63" s="23">
        <f>I55+I57+I59+I61</f>
        <v>199965</v>
      </c>
      <c r="J63" s="24">
        <f t="shared" si="0"/>
        <v>199965</v>
      </c>
      <c r="K63" s="24">
        <f aca="true" t="shared" si="11" ref="K63:S63">K55+K57+K59+K61</f>
        <v>1348467</v>
      </c>
      <c r="L63" s="24">
        <f t="shared" si="11"/>
        <v>6403044</v>
      </c>
      <c r="M63" s="24">
        <f t="shared" si="11"/>
        <v>966567</v>
      </c>
      <c r="N63" s="24">
        <f t="shared" si="11"/>
        <v>0</v>
      </c>
      <c r="O63" s="24">
        <f t="shared" si="11"/>
        <v>0</v>
      </c>
      <c r="P63" s="24">
        <f t="shared" si="11"/>
        <v>0</v>
      </c>
      <c r="Q63" s="24">
        <f t="shared" si="11"/>
        <v>0</v>
      </c>
      <c r="R63" s="24">
        <f t="shared" si="11"/>
        <v>0</v>
      </c>
      <c r="S63" s="25">
        <f t="shared" si="11"/>
        <v>0</v>
      </c>
      <c r="T63" s="744"/>
    </row>
    <row r="64" spans="1:20" ht="13.5" thickBot="1">
      <c r="A64" s="725"/>
      <c r="B64" s="766"/>
      <c r="C64" s="769"/>
      <c r="D64" s="770"/>
      <c r="E64" s="730"/>
      <c r="F64" s="732"/>
      <c r="G64" s="36" t="s">
        <v>26</v>
      </c>
      <c r="H64" s="37">
        <f>H56+H58+H60+H62</f>
        <v>0</v>
      </c>
      <c r="I64" s="28">
        <f>I56+I58+I60+I62</f>
        <v>0</v>
      </c>
      <c r="J64" s="29">
        <f t="shared" si="0"/>
        <v>0</v>
      </c>
      <c r="K64" s="29">
        <f aca="true" t="shared" si="12" ref="K64:S64">K56+K58+K60+K62</f>
        <v>4287773</v>
      </c>
      <c r="L64" s="29">
        <f t="shared" si="12"/>
        <v>7508279</v>
      </c>
      <c r="M64" s="29">
        <f t="shared" si="12"/>
        <v>468000</v>
      </c>
      <c r="N64" s="29">
        <f t="shared" si="12"/>
        <v>0</v>
      </c>
      <c r="O64" s="29">
        <f t="shared" si="12"/>
        <v>0</v>
      </c>
      <c r="P64" s="29">
        <f t="shared" si="12"/>
        <v>0</v>
      </c>
      <c r="Q64" s="29">
        <f t="shared" si="12"/>
        <v>0</v>
      </c>
      <c r="R64" s="29">
        <f t="shared" si="12"/>
        <v>0</v>
      </c>
      <c r="S64" s="38">
        <f t="shared" si="12"/>
        <v>0</v>
      </c>
      <c r="T64" s="745"/>
    </row>
    <row r="65" spans="1:20" ht="12.75" customHeight="1" thickBot="1">
      <c r="A65" s="773">
        <v>7</v>
      </c>
      <c r="B65" s="752" t="s">
        <v>33</v>
      </c>
      <c r="C65" s="739">
        <v>71095</v>
      </c>
      <c r="D65" s="770" t="s">
        <v>34</v>
      </c>
      <c r="E65" s="775">
        <v>2008</v>
      </c>
      <c r="F65" s="8" t="s">
        <v>14</v>
      </c>
      <c r="G65" s="9" t="s">
        <v>15</v>
      </c>
      <c r="H65" s="33">
        <f>12215+2427068+10000-2427068-10000</f>
        <v>12215</v>
      </c>
      <c r="I65" s="39">
        <f>10000+2427068</f>
        <v>2437068</v>
      </c>
      <c r="J65" s="12">
        <f t="shared" si="0"/>
        <v>2449283</v>
      </c>
      <c r="K65" s="12">
        <v>7492234</v>
      </c>
      <c r="L65" s="12">
        <v>12285831</v>
      </c>
      <c r="M65" s="12"/>
      <c r="N65" s="12"/>
      <c r="O65" s="12"/>
      <c r="P65" s="12"/>
      <c r="Q65" s="12"/>
      <c r="R65" s="12"/>
      <c r="S65" s="13"/>
      <c r="T65" s="722">
        <f>L73+M73+N73+O73+P73+Q73+R73+L74+M74+N74+O74+P74+Q74+S73+S74+R74</f>
        <v>67350164</v>
      </c>
    </row>
    <row r="66" spans="1:20" ht="13.5" thickBot="1">
      <c r="A66" s="774"/>
      <c r="B66" s="737"/>
      <c r="C66" s="740"/>
      <c r="D66" s="770"/>
      <c r="E66" s="776"/>
      <c r="F66" s="746">
        <f>SUM(H73:S73)</f>
        <v>24676631</v>
      </c>
      <c r="G66" s="15" t="s">
        <v>16</v>
      </c>
      <c r="H66" s="16">
        <f>94862+860000-860000</f>
        <v>94862</v>
      </c>
      <c r="I66" s="17">
        <v>860000</v>
      </c>
      <c r="J66" s="18">
        <f t="shared" si="0"/>
        <v>954862</v>
      </c>
      <c r="K66" s="18">
        <v>1000000</v>
      </c>
      <c r="L66" s="18">
        <v>15150000</v>
      </c>
      <c r="M66" s="18"/>
      <c r="N66" s="18"/>
      <c r="O66" s="18"/>
      <c r="P66" s="18"/>
      <c r="Q66" s="18"/>
      <c r="R66" s="18"/>
      <c r="S66" s="19"/>
      <c r="T66" s="744"/>
    </row>
    <row r="67" spans="1:20" ht="13.5" thickBot="1">
      <c r="A67" s="774"/>
      <c r="B67" s="737"/>
      <c r="C67" s="740"/>
      <c r="D67" s="770"/>
      <c r="E67" s="776"/>
      <c r="F67" s="728"/>
      <c r="G67" s="15" t="s">
        <v>17</v>
      </c>
      <c r="H67" s="16"/>
      <c r="I67" s="17"/>
      <c r="J67" s="18">
        <f t="shared" si="0"/>
        <v>0</v>
      </c>
      <c r="K67" s="18"/>
      <c r="L67" s="18"/>
      <c r="M67" s="18"/>
      <c r="N67" s="18"/>
      <c r="O67" s="18"/>
      <c r="P67" s="18"/>
      <c r="Q67" s="18"/>
      <c r="R67" s="18"/>
      <c r="S67" s="19"/>
      <c r="T67" s="744"/>
    </row>
    <row r="68" spans="1:20" ht="13.5" thickBot="1">
      <c r="A68" s="774"/>
      <c r="B68" s="737"/>
      <c r="C68" s="740"/>
      <c r="D68" s="770"/>
      <c r="E68" s="776"/>
      <c r="F68" s="21" t="s">
        <v>18</v>
      </c>
      <c r="G68" s="15" t="s">
        <v>19</v>
      </c>
      <c r="H68" s="16">
        <f>302383+88674+1507456-1507456</f>
        <v>391057</v>
      </c>
      <c r="I68" s="17">
        <v>1507456</v>
      </c>
      <c r="J68" s="18">
        <f t="shared" si="0"/>
        <v>1898513</v>
      </c>
      <c r="K68" s="18">
        <v>4991837</v>
      </c>
      <c r="L68" s="18">
        <v>5987150</v>
      </c>
      <c r="M68" s="18"/>
      <c r="N68" s="18"/>
      <c r="O68" s="18"/>
      <c r="P68" s="18"/>
      <c r="Q68" s="18"/>
      <c r="R68" s="18"/>
      <c r="S68" s="19"/>
      <c r="T68" s="744"/>
    </row>
    <row r="69" spans="1:20" ht="13.5" thickBot="1">
      <c r="A69" s="774"/>
      <c r="B69" s="737"/>
      <c r="C69" s="740"/>
      <c r="D69" s="770"/>
      <c r="E69" s="727"/>
      <c r="F69" s="746">
        <f>SUM(H74:S74)</f>
        <v>116566480</v>
      </c>
      <c r="G69" s="15" t="s">
        <v>20</v>
      </c>
      <c r="H69" s="16"/>
      <c r="I69" s="17"/>
      <c r="J69" s="18">
        <f t="shared" si="0"/>
        <v>0</v>
      </c>
      <c r="K69" s="18"/>
      <c r="L69" s="18"/>
      <c r="M69" s="18"/>
      <c r="N69" s="18"/>
      <c r="O69" s="18"/>
      <c r="P69" s="18"/>
      <c r="Q69" s="18"/>
      <c r="R69" s="18"/>
      <c r="S69" s="19"/>
      <c r="T69" s="744"/>
    </row>
    <row r="70" spans="1:20" ht="13.5" thickBot="1">
      <c r="A70" s="774"/>
      <c r="B70" s="737"/>
      <c r="C70" s="740"/>
      <c r="D70" s="770"/>
      <c r="E70" s="723">
        <v>2012</v>
      </c>
      <c r="F70" s="728"/>
      <c r="G70" s="15" t="s">
        <v>21</v>
      </c>
      <c r="H70" s="16">
        <f>1713503+502487+8542253-8542253</f>
        <v>2215990</v>
      </c>
      <c r="I70" s="17">
        <v>8542253</v>
      </c>
      <c r="J70" s="18">
        <f aca="true" t="shared" si="13" ref="J70:J133">SUM(H70:I70)</f>
        <v>10758243</v>
      </c>
      <c r="K70" s="18">
        <v>28287074</v>
      </c>
      <c r="L70" s="18">
        <v>33927183</v>
      </c>
      <c r="M70" s="18"/>
      <c r="N70" s="18"/>
      <c r="O70" s="18"/>
      <c r="P70" s="18"/>
      <c r="Q70" s="18"/>
      <c r="R70" s="18"/>
      <c r="S70" s="19"/>
      <c r="T70" s="744"/>
    </row>
    <row r="71" spans="1:20" ht="13.5" thickBot="1">
      <c r="A71" s="774"/>
      <c r="B71" s="737"/>
      <c r="C71" s="740"/>
      <c r="D71" s="770"/>
      <c r="E71" s="776"/>
      <c r="F71" s="21" t="s">
        <v>22</v>
      </c>
      <c r="G71" s="15" t="s">
        <v>23</v>
      </c>
      <c r="H71" s="16"/>
      <c r="I71" s="17"/>
      <c r="J71" s="18">
        <f t="shared" si="13"/>
        <v>0</v>
      </c>
      <c r="K71" s="18"/>
      <c r="L71" s="18"/>
      <c r="M71" s="18"/>
      <c r="N71" s="18"/>
      <c r="O71" s="18"/>
      <c r="P71" s="18"/>
      <c r="Q71" s="18"/>
      <c r="R71" s="18"/>
      <c r="S71" s="19"/>
      <c r="T71" s="744"/>
    </row>
    <row r="72" spans="1:20" ht="13.5" thickBot="1">
      <c r="A72" s="774"/>
      <c r="B72" s="737"/>
      <c r="C72" s="740"/>
      <c r="D72" s="770"/>
      <c r="E72" s="776"/>
      <c r="F72" s="746">
        <f>F66+F69</f>
        <v>141243111</v>
      </c>
      <c r="G72" s="15" t="s">
        <v>24</v>
      </c>
      <c r="H72" s="16"/>
      <c r="I72" s="17"/>
      <c r="J72" s="18">
        <f t="shared" si="13"/>
        <v>0</v>
      </c>
      <c r="K72" s="18"/>
      <c r="L72" s="18"/>
      <c r="M72" s="18"/>
      <c r="N72" s="18"/>
      <c r="O72" s="18"/>
      <c r="P72" s="18"/>
      <c r="Q72" s="18"/>
      <c r="R72" s="18"/>
      <c r="S72" s="19"/>
      <c r="T72" s="744"/>
    </row>
    <row r="73" spans="1:20" ht="13.5" thickBot="1">
      <c r="A73" s="774"/>
      <c r="B73" s="737"/>
      <c r="C73" s="740"/>
      <c r="D73" s="770"/>
      <c r="E73" s="776"/>
      <c r="F73" s="731"/>
      <c r="G73" s="15" t="s">
        <v>25</v>
      </c>
      <c r="H73" s="22">
        <f>H65+H67+H69+H71</f>
        <v>12215</v>
      </c>
      <c r="I73" s="23">
        <f>I65+I67+I69+I71</f>
        <v>2437068</v>
      </c>
      <c r="J73" s="24">
        <f t="shared" si="13"/>
        <v>2449283</v>
      </c>
      <c r="K73" s="24">
        <f aca="true" t="shared" si="14" ref="K73:S73">K65+K67+K69+K71</f>
        <v>7492234</v>
      </c>
      <c r="L73" s="24">
        <f t="shared" si="14"/>
        <v>12285831</v>
      </c>
      <c r="M73" s="24">
        <f t="shared" si="14"/>
        <v>0</v>
      </c>
      <c r="N73" s="24">
        <f t="shared" si="14"/>
        <v>0</v>
      </c>
      <c r="O73" s="24">
        <f t="shared" si="14"/>
        <v>0</v>
      </c>
      <c r="P73" s="24">
        <f t="shared" si="14"/>
        <v>0</v>
      </c>
      <c r="Q73" s="24">
        <f t="shared" si="14"/>
        <v>0</v>
      </c>
      <c r="R73" s="24">
        <f t="shared" si="14"/>
        <v>0</v>
      </c>
      <c r="S73" s="25">
        <f t="shared" si="14"/>
        <v>0</v>
      </c>
      <c r="T73" s="744"/>
    </row>
    <row r="74" spans="1:20" ht="13.5" thickBot="1">
      <c r="A74" s="750"/>
      <c r="B74" s="738"/>
      <c r="C74" s="741"/>
      <c r="D74" s="770"/>
      <c r="E74" s="777"/>
      <c r="F74" s="732"/>
      <c r="G74" s="26" t="s">
        <v>26</v>
      </c>
      <c r="H74" s="27">
        <f>H66+H68+H70+H72</f>
        <v>2701909</v>
      </c>
      <c r="I74" s="28">
        <f>I66+I68+I70+I72</f>
        <v>10909709</v>
      </c>
      <c r="J74" s="24">
        <f t="shared" si="13"/>
        <v>13611618</v>
      </c>
      <c r="K74" s="24">
        <f aca="true" t="shared" si="15" ref="K74:S74">K66+K68+K70+K72</f>
        <v>34278911</v>
      </c>
      <c r="L74" s="30">
        <f t="shared" si="15"/>
        <v>55064333</v>
      </c>
      <c r="M74" s="30">
        <f t="shared" si="15"/>
        <v>0</v>
      </c>
      <c r="N74" s="30">
        <f t="shared" si="15"/>
        <v>0</v>
      </c>
      <c r="O74" s="30">
        <f t="shared" si="15"/>
        <v>0</v>
      </c>
      <c r="P74" s="30">
        <f t="shared" si="15"/>
        <v>0</v>
      </c>
      <c r="Q74" s="30">
        <f t="shared" si="15"/>
        <v>0</v>
      </c>
      <c r="R74" s="30">
        <f t="shared" si="15"/>
        <v>0</v>
      </c>
      <c r="S74" s="31">
        <f t="shared" si="15"/>
        <v>0</v>
      </c>
      <c r="T74" s="772"/>
    </row>
    <row r="75" spans="1:20" ht="12.75">
      <c r="A75" s="763">
        <v>8</v>
      </c>
      <c r="B75" s="764" t="s">
        <v>35</v>
      </c>
      <c r="C75" s="767">
        <v>71095</v>
      </c>
      <c r="D75" s="747" t="s">
        <v>34</v>
      </c>
      <c r="E75" s="733">
        <v>2008</v>
      </c>
      <c r="F75" s="8" t="s">
        <v>14</v>
      </c>
      <c r="G75" s="32" t="s">
        <v>15</v>
      </c>
      <c r="H75" s="33">
        <f>12215+10000+1040883-1040883-10000</f>
        <v>12215</v>
      </c>
      <c r="I75" s="11">
        <f>10000+1040883</f>
        <v>1050883</v>
      </c>
      <c r="J75" s="18">
        <f t="shared" si="13"/>
        <v>1063098</v>
      </c>
      <c r="K75" s="18">
        <v>6203768</v>
      </c>
      <c r="L75" s="34">
        <v>7851278</v>
      </c>
      <c r="M75" s="34"/>
      <c r="N75" s="34"/>
      <c r="O75" s="34"/>
      <c r="P75" s="34"/>
      <c r="Q75" s="34"/>
      <c r="R75" s="34"/>
      <c r="S75" s="35"/>
      <c r="T75" s="743">
        <f>L83+M83+N83+O83+P83+Q83+R83+L84+M84+N84+O84+P84+Q84+S83+S84+R84</f>
        <v>43802590</v>
      </c>
    </row>
    <row r="76" spans="1:20" ht="12.75">
      <c r="A76" s="763"/>
      <c r="B76" s="765"/>
      <c r="C76" s="768"/>
      <c r="D76" s="748"/>
      <c r="E76" s="729"/>
      <c r="F76" s="746">
        <f>SUM(H83:S83)</f>
        <v>16181242</v>
      </c>
      <c r="G76" s="15" t="s">
        <v>16</v>
      </c>
      <c r="H76" s="16">
        <f>228528+79306+927317+94921+860000-860000-927317</f>
        <v>402755</v>
      </c>
      <c r="I76" s="17">
        <f>927317+860000</f>
        <v>1787317</v>
      </c>
      <c r="J76" s="18">
        <f t="shared" si="13"/>
        <v>2190072</v>
      </c>
      <c r="K76" s="18">
        <f>6864158+1000000</f>
        <v>7864158</v>
      </c>
      <c r="L76" s="18">
        <f>8737828+1000000</f>
        <v>9737828</v>
      </c>
      <c r="M76" s="18"/>
      <c r="N76" s="18"/>
      <c r="O76" s="18"/>
      <c r="P76" s="18"/>
      <c r="Q76" s="18"/>
      <c r="R76" s="18"/>
      <c r="S76" s="19"/>
      <c r="T76" s="744"/>
    </row>
    <row r="77" spans="1:20" ht="12.75">
      <c r="A77" s="763"/>
      <c r="B77" s="765"/>
      <c r="C77" s="768"/>
      <c r="D77" s="748"/>
      <c r="E77" s="729"/>
      <c r="F77" s="728"/>
      <c r="G77" s="15" t="s">
        <v>17</v>
      </c>
      <c r="H77" s="16"/>
      <c r="I77" s="17"/>
      <c r="J77" s="18">
        <f t="shared" si="13"/>
        <v>0</v>
      </c>
      <c r="K77" s="18"/>
      <c r="L77" s="18"/>
      <c r="M77" s="18"/>
      <c r="N77" s="18"/>
      <c r="O77" s="18"/>
      <c r="P77" s="18"/>
      <c r="Q77" s="18"/>
      <c r="R77" s="18"/>
      <c r="S77" s="19"/>
      <c r="T77" s="744"/>
    </row>
    <row r="78" spans="1:20" ht="12.75">
      <c r="A78" s="763"/>
      <c r="B78" s="765"/>
      <c r="C78" s="768"/>
      <c r="D78" s="748"/>
      <c r="E78" s="729"/>
      <c r="F78" s="21" t="s">
        <v>18</v>
      </c>
      <c r="G78" s="15" t="s">
        <v>19</v>
      </c>
      <c r="H78" s="16"/>
      <c r="I78" s="17"/>
      <c r="J78" s="18">
        <f t="shared" si="13"/>
        <v>0</v>
      </c>
      <c r="K78" s="18"/>
      <c r="L78" s="18"/>
      <c r="M78" s="18"/>
      <c r="N78" s="18"/>
      <c r="O78" s="18"/>
      <c r="P78" s="18"/>
      <c r="Q78" s="18"/>
      <c r="R78" s="18"/>
      <c r="S78" s="19"/>
      <c r="T78" s="744"/>
    </row>
    <row r="79" spans="1:20" ht="12.75">
      <c r="A79" s="763"/>
      <c r="B79" s="765"/>
      <c r="C79" s="768"/>
      <c r="D79" s="748"/>
      <c r="E79" s="729"/>
      <c r="F79" s="746">
        <f>SUM(H84:S84)</f>
        <v>76198995</v>
      </c>
      <c r="G79" s="15" t="s">
        <v>20</v>
      </c>
      <c r="H79" s="16"/>
      <c r="I79" s="17"/>
      <c r="J79" s="18">
        <f t="shared" si="13"/>
        <v>0</v>
      </c>
      <c r="K79" s="18"/>
      <c r="L79" s="18"/>
      <c r="M79" s="18"/>
      <c r="N79" s="18"/>
      <c r="O79" s="18"/>
      <c r="P79" s="18"/>
      <c r="Q79" s="18"/>
      <c r="R79" s="18"/>
      <c r="S79" s="19"/>
      <c r="T79" s="744"/>
    </row>
    <row r="80" spans="1:20" ht="12.75">
      <c r="A80" s="763"/>
      <c r="B80" s="765"/>
      <c r="C80" s="768"/>
      <c r="D80" s="748"/>
      <c r="E80" s="729">
        <v>2012</v>
      </c>
      <c r="F80" s="728"/>
      <c r="G80" s="15" t="s">
        <v>21</v>
      </c>
      <c r="H80" s="16">
        <f>685585+237918+2781951-2781951</f>
        <v>923503</v>
      </c>
      <c r="I80" s="17">
        <v>2781951</v>
      </c>
      <c r="J80" s="18">
        <f t="shared" si="13"/>
        <v>3705454</v>
      </c>
      <c r="K80" s="18">
        <v>20592473</v>
      </c>
      <c r="L80" s="18">
        <v>26213484</v>
      </c>
      <c r="M80" s="18"/>
      <c r="N80" s="18"/>
      <c r="O80" s="18"/>
      <c r="P80" s="18"/>
      <c r="Q80" s="18"/>
      <c r="R80" s="18"/>
      <c r="S80" s="19"/>
      <c r="T80" s="744"/>
    </row>
    <row r="81" spans="1:20" ht="12.75">
      <c r="A81" s="763"/>
      <c r="B81" s="765"/>
      <c r="C81" s="768"/>
      <c r="D81" s="748"/>
      <c r="E81" s="729"/>
      <c r="F81" s="21" t="s">
        <v>22</v>
      </c>
      <c r="G81" s="15" t="s">
        <v>23</v>
      </c>
      <c r="H81" s="16"/>
      <c r="I81" s="17"/>
      <c r="J81" s="18">
        <f t="shared" si="13"/>
        <v>0</v>
      </c>
      <c r="K81" s="18"/>
      <c r="L81" s="18"/>
      <c r="M81" s="18"/>
      <c r="N81" s="18"/>
      <c r="O81" s="18"/>
      <c r="P81" s="18"/>
      <c r="Q81" s="18"/>
      <c r="R81" s="18"/>
      <c r="S81" s="19"/>
      <c r="T81" s="744"/>
    </row>
    <row r="82" spans="1:20" ht="12.75">
      <c r="A82" s="763"/>
      <c r="B82" s="765"/>
      <c r="C82" s="768"/>
      <c r="D82" s="748"/>
      <c r="E82" s="729"/>
      <c r="F82" s="746">
        <f>F76+F79</f>
        <v>92380237</v>
      </c>
      <c r="G82" s="15" t="s">
        <v>24</v>
      </c>
      <c r="H82" s="16"/>
      <c r="I82" s="17"/>
      <c r="J82" s="18">
        <f t="shared" si="13"/>
        <v>0</v>
      </c>
      <c r="K82" s="18"/>
      <c r="L82" s="18"/>
      <c r="M82" s="18"/>
      <c r="N82" s="18"/>
      <c r="O82" s="18"/>
      <c r="P82" s="18"/>
      <c r="Q82" s="18"/>
      <c r="R82" s="18"/>
      <c r="S82" s="19"/>
      <c r="T82" s="744"/>
    </row>
    <row r="83" spans="1:20" ht="12.75">
      <c r="A83" s="763"/>
      <c r="B83" s="765"/>
      <c r="C83" s="768"/>
      <c r="D83" s="748"/>
      <c r="E83" s="729"/>
      <c r="F83" s="731"/>
      <c r="G83" s="15" t="s">
        <v>25</v>
      </c>
      <c r="H83" s="22">
        <f>H75+H77+H79+H81</f>
        <v>12215</v>
      </c>
      <c r="I83" s="23">
        <f>I75+I77+I79+I81</f>
        <v>1050883</v>
      </c>
      <c r="J83" s="24">
        <f t="shared" si="13"/>
        <v>1063098</v>
      </c>
      <c r="K83" s="24">
        <f aca="true" t="shared" si="16" ref="K83:S83">K75+K77+K79+K81</f>
        <v>6203768</v>
      </c>
      <c r="L83" s="24">
        <f t="shared" si="16"/>
        <v>7851278</v>
      </c>
      <c r="M83" s="24">
        <f t="shared" si="16"/>
        <v>0</v>
      </c>
      <c r="N83" s="24">
        <f t="shared" si="16"/>
        <v>0</v>
      </c>
      <c r="O83" s="24">
        <f t="shared" si="16"/>
        <v>0</v>
      </c>
      <c r="P83" s="24">
        <f t="shared" si="16"/>
        <v>0</v>
      </c>
      <c r="Q83" s="24">
        <f t="shared" si="16"/>
        <v>0</v>
      </c>
      <c r="R83" s="24">
        <f t="shared" si="16"/>
        <v>0</v>
      </c>
      <c r="S83" s="25">
        <f t="shared" si="16"/>
        <v>0</v>
      </c>
      <c r="T83" s="744"/>
    </row>
    <row r="84" spans="1:20" ht="13.5" thickBot="1">
      <c r="A84" s="763"/>
      <c r="B84" s="766"/>
      <c r="C84" s="769"/>
      <c r="D84" s="749"/>
      <c r="E84" s="730"/>
      <c r="F84" s="732"/>
      <c r="G84" s="36" t="s">
        <v>26</v>
      </c>
      <c r="H84" s="37">
        <f>H76+H78+H80+H82</f>
        <v>1326258</v>
      </c>
      <c r="I84" s="28">
        <f>I76+I78+I80+I82</f>
        <v>4569268</v>
      </c>
      <c r="J84" s="29">
        <f t="shared" si="13"/>
        <v>5895526</v>
      </c>
      <c r="K84" s="29">
        <f aca="true" t="shared" si="17" ref="K84:S84">K76+K78+K80+K82</f>
        <v>28456631</v>
      </c>
      <c r="L84" s="29">
        <f t="shared" si="17"/>
        <v>35951312</v>
      </c>
      <c r="M84" s="29">
        <f t="shared" si="17"/>
        <v>0</v>
      </c>
      <c r="N84" s="29">
        <f t="shared" si="17"/>
        <v>0</v>
      </c>
      <c r="O84" s="29">
        <f t="shared" si="17"/>
        <v>0</v>
      </c>
      <c r="P84" s="29">
        <f t="shared" si="17"/>
        <v>0</v>
      </c>
      <c r="Q84" s="29">
        <f t="shared" si="17"/>
        <v>0</v>
      </c>
      <c r="R84" s="29">
        <f t="shared" si="17"/>
        <v>0</v>
      </c>
      <c r="S84" s="38">
        <f t="shared" si="17"/>
        <v>0</v>
      </c>
      <c r="T84" s="745"/>
    </row>
    <row r="85" spans="1:20" ht="12.75">
      <c r="A85" s="750">
        <v>9</v>
      </c>
      <c r="B85" s="734" t="s">
        <v>36</v>
      </c>
      <c r="C85" s="767">
        <v>60095</v>
      </c>
      <c r="D85" s="747" t="s">
        <v>37</v>
      </c>
      <c r="E85" s="733">
        <v>2009</v>
      </c>
      <c r="F85" s="8" t="s">
        <v>14</v>
      </c>
      <c r="G85" s="32" t="s">
        <v>15</v>
      </c>
      <c r="H85" s="33">
        <f>22500-22500</f>
        <v>0</v>
      </c>
      <c r="I85" s="11">
        <v>22500</v>
      </c>
      <c r="J85" s="12">
        <f t="shared" si="13"/>
        <v>22500</v>
      </c>
      <c r="K85" s="12">
        <v>36450</v>
      </c>
      <c r="L85" s="34">
        <v>19800</v>
      </c>
      <c r="M85" s="34"/>
      <c r="N85" s="34"/>
      <c r="O85" s="34"/>
      <c r="P85" s="34"/>
      <c r="Q85" s="34"/>
      <c r="R85" s="34"/>
      <c r="S85" s="35"/>
      <c r="T85" s="722">
        <f>L93+M93+N93+O93+P93+Q93+R93+L94+M94+N94+O94+P94+Q94+S93+S94+R94</f>
        <v>132000</v>
      </c>
    </row>
    <row r="86" spans="1:20" ht="12.75">
      <c r="A86" s="763"/>
      <c r="B86" s="765"/>
      <c r="C86" s="768"/>
      <c r="D86" s="748"/>
      <c r="E86" s="729"/>
      <c r="F86" s="746">
        <f>SUM(H93:S93)</f>
        <v>675000</v>
      </c>
      <c r="G86" s="15" t="s">
        <v>16</v>
      </c>
      <c r="H86" s="16"/>
      <c r="I86" s="17"/>
      <c r="J86" s="18">
        <f t="shared" si="13"/>
        <v>0</v>
      </c>
      <c r="K86" s="18">
        <v>11250</v>
      </c>
      <c r="L86" s="18"/>
      <c r="M86" s="18"/>
      <c r="N86" s="18"/>
      <c r="O86" s="18"/>
      <c r="P86" s="18"/>
      <c r="Q86" s="18"/>
      <c r="R86" s="18"/>
      <c r="S86" s="19"/>
      <c r="T86" s="744"/>
    </row>
    <row r="87" spans="1:20" ht="12.75">
      <c r="A87" s="763"/>
      <c r="B87" s="765"/>
      <c r="C87" s="768"/>
      <c r="D87" s="748"/>
      <c r="E87" s="729"/>
      <c r="F87" s="728"/>
      <c r="G87" s="15" t="s">
        <v>17</v>
      </c>
      <c r="H87" s="16"/>
      <c r="I87" s="17"/>
      <c r="J87" s="18">
        <f t="shared" si="13"/>
        <v>0</v>
      </c>
      <c r="K87" s="18"/>
      <c r="L87" s="18"/>
      <c r="M87" s="18"/>
      <c r="N87" s="18"/>
      <c r="O87" s="18"/>
      <c r="P87" s="18"/>
      <c r="Q87" s="18"/>
      <c r="R87" s="18"/>
      <c r="S87" s="19"/>
      <c r="T87" s="744"/>
    </row>
    <row r="88" spans="1:20" ht="12.75">
      <c r="A88" s="763"/>
      <c r="B88" s="765"/>
      <c r="C88" s="768"/>
      <c r="D88" s="748"/>
      <c r="E88" s="729"/>
      <c r="F88" s="21" t="s">
        <v>18</v>
      </c>
      <c r="G88" s="15" t="s">
        <v>19</v>
      </c>
      <c r="H88" s="16"/>
      <c r="I88" s="17"/>
      <c r="J88" s="18">
        <f t="shared" si="13"/>
        <v>0</v>
      </c>
      <c r="K88" s="18"/>
      <c r="L88" s="18"/>
      <c r="M88" s="18"/>
      <c r="N88" s="18"/>
      <c r="O88" s="18"/>
      <c r="P88" s="18"/>
      <c r="Q88" s="18"/>
      <c r="R88" s="18"/>
      <c r="S88" s="19"/>
      <c r="T88" s="744"/>
    </row>
    <row r="89" spans="1:20" ht="12.75">
      <c r="A89" s="763"/>
      <c r="B89" s="765"/>
      <c r="C89" s="768"/>
      <c r="D89" s="748"/>
      <c r="E89" s="729"/>
      <c r="F89" s="746">
        <f>SUM(H94:S94)</f>
        <v>75000</v>
      </c>
      <c r="G89" s="15" t="s">
        <v>20</v>
      </c>
      <c r="H89" s="16">
        <f>127500-127500</f>
        <v>0</v>
      </c>
      <c r="I89" s="17">
        <v>127500</v>
      </c>
      <c r="J89" s="18">
        <f t="shared" si="13"/>
        <v>127500</v>
      </c>
      <c r="K89" s="18">
        <v>206550</v>
      </c>
      <c r="L89" s="18">
        <v>112200</v>
      </c>
      <c r="M89" s="18"/>
      <c r="N89" s="18"/>
      <c r="O89" s="18"/>
      <c r="P89" s="18"/>
      <c r="Q89" s="18"/>
      <c r="R89" s="18"/>
      <c r="S89" s="19"/>
      <c r="T89" s="744"/>
    </row>
    <row r="90" spans="1:20" ht="12.75">
      <c r="A90" s="763"/>
      <c r="B90" s="765"/>
      <c r="C90" s="768"/>
      <c r="D90" s="748"/>
      <c r="E90" s="729">
        <v>2012</v>
      </c>
      <c r="F90" s="728"/>
      <c r="G90" s="15" t="s">
        <v>21</v>
      </c>
      <c r="H90" s="16"/>
      <c r="I90" s="17"/>
      <c r="J90" s="18">
        <f t="shared" si="13"/>
        <v>0</v>
      </c>
      <c r="K90" s="18">
        <v>63750</v>
      </c>
      <c r="L90" s="18"/>
      <c r="M90" s="18"/>
      <c r="N90" s="18"/>
      <c r="O90" s="18"/>
      <c r="P90" s="18"/>
      <c r="Q90" s="18"/>
      <c r="R90" s="18"/>
      <c r="S90" s="19"/>
      <c r="T90" s="744"/>
    </row>
    <row r="91" spans="1:20" ht="12.75">
      <c r="A91" s="763"/>
      <c r="B91" s="765"/>
      <c r="C91" s="768"/>
      <c r="D91" s="748"/>
      <c r="E91" s="729"/>
      <c r="F91" s="21" t="s">
        <v>22</v>
      </c>
      <c r="G91" s="15" t="s">
        <v>23</v>
      </c>
      <c r="H91" s="16"/>
      <c r="I91" s="17"/>
      <c r="J91" s="18">
        <f t="shared" si="13"/>
        <v>0</v>
      </c>
      <c r="K91" s="18"/>
      <c r="L91" s="18"/>
      <c r="M91" s="18"/>
      <c r="N91" s="18"/>
      <c r="O91" s="18"/>
      <c r="P91" s="18"/>
      <c r="Q91" s="18"/>
      <c r="R91" s="18"/>
      <c r="S91" s="19"/>
      <c r="T91" s="744"/>
    </row>
    <row r="92" spans="1:20" ht="12.75">
      <c r="A92" s="763"/>
      <c r="B92" s="765"/>
      <c r="C92" s="768"/>
      <c r="D92" s="748"/>
      <c r="E92" s="729"/>
      <c r="F92" s="746">
        <f>F86+F89</f>
        <v>750000</v>
      </c>
      <c r="G92" s="15" t="s">
        <v>24</v>
      </c>
      <c r="H92" s="16"/>
      <c r="I92" s="17"/>
      <c r="J92" s="18">
        <f t="shared" si="13"/>
        <v>0</v>
      </c>
      <c r="K92" s="18"/>
      <c r="L92" s="18"/>
      <c r="M92" s="18"/>
      <c r="N92" s="18"/>
      <c r="O92" s="18"/>
      <c r="P92" s="18"/>
      <c r="Q92" s="18"/>
      <c r="R92" s="18"/>
      <c r="S92" s="19"/>
      <c r="T92" s="744"/>
    </row>
    <row r="93" spans="1:20" ht="12.75">
      <c r="A93" s="763"/>
      <c r="B93" s="765"/>
      <c r="C93" s="768"/>
      <c r="D93" s="748"/>
      <c r="E93" s="729"/>
      <c r="F93" s="731"/>
      <c r="G93" s="15" t="s">
        <v>25</v>
      </c>
      <c r="H93" s="22">
        <f>H85+H87+H89+H91</f>
        <v>0</v>
      </c>
      <c r="I93" s="23">
        <f>I85+I87+I89+I91</f>
        <v>150000</v>
      </c>
      <c r="J93" s="24">
        <f t="shared" si="13"/>
        <v>150000</v>
      </c>
      <c r="K93" s="24">
        <f aca="true" t="shared" si="18" ref="K93:S93">K85+K87+K89+K91</f>
        <v>243000</v>
      </c>
      <c r="L93" s="24">
        <f t="shared" si="18"/>
        <v>132000</v>
      </c>
      <c r="M93" s="24">
        <f t="shared" si="18"/>
        <v>0</v>
      </c>
      <c r="N93" s="24">
        <f t="shared" si="18"/>
        <v>0</v>
      </c>
      <c r="O93" s="24">
        <f t="shared" si="18"/>
        <v>0</v>
      </c>
      <c r="P93" s="24">
        <f t="shared" si="18"/>
        <v>0</v>
      </c>
      <c r="Q93" s="24">
        <f t="shared" si="18"/>
        <v>0</v>
      </c>
      <c r="R93" s="24">
        <f t="shared" si="18"/>
        <v>0</v>
      </c>
      <c r="S93" s="25">
        <f t="shared" si="18"/>
        <v>0</v>
      </c>
      <c r="T93" s="744"/>
    </row>
    <row r="94" spans="1:20" ht="13.5" thickBot="1">
      <c r="A94" s="725"/>
      <c r="B94" s="766"/>
      <c r="C94" s="769"/>
      <c r="D94" s="742"/>
      <c r="E94" s="730"/>
      <c r="F94" s="732"/>
      <c r="G94" s="36" t="s">
        <v>26</v>
      </c>
      <c r="H94" s="37">
        <f>H86+H88+H90+H92</f>
        <v>0</v>
      </c>
      <c r="I94" s="28">
        <f>I86+I88+I90+I92</f>
        <v>0</v>
      </c>
      <c r="J94" s="29">
        <f t="shared" si="13"/>
        <v>0</v>
      </c>
      <c r="K94" s="29">
        <f aca="true" t="shared" si="19" ref="K94:S94">K86+K88+K90+K92</f>
        <v>75000</v>
      </c>
      <c r="L94" s="29">
        <f t="shared" si="19"/>
        <v>0</v>
      </c>
      <c r="M94" s="29">
        <f t="shared" si="19"/>
        <v>0</v>
      </c>
      <c r="N94" s="29">
        <f t="shared" si="19"/>
        <v>0</v>
      </c>
      <c r="O94" s="29">
        <f t="shared" si="19"/>
        <v>0</v>
      </c>
      <c r="P94" s="29">
        <f t="shared" si="19"/>
        <v>0</v>
      </c>
      <c r="Q94" s="29">
        <f t="shared" si="19"/>
        <v>0</v>
      </c>
      <c r="R94" s="29">
        <f t="shared" si="19"/>
        <v>0</v>
      </c>
      <c r="S94" s="38">
        <f t="shared" si="19"/>
        <v>0</v>
      </c>
      <c r="T94" s="745"/>
    </row>
    <row r="95" spans="1:20" ht="12.75">
      <c r="A95" s="750">
        <v>10</v>
      </c>
      <c r="B95" s="734" t="s">
        <v>38</v>
      </c>
      <c r="C95" s="735">
        <v>71095</v>
      </c>
      <c r="D95" s="726" t="s">
        <v>34</v>
      </c>
      <c r="E95" s="727">
        <v>2009</v>
      </c>
      <c r="F95" s="20" t="s">
        <v>14</v>
      </c>
      <c r="G95" s="9" t="s">
        <v>15</v>
      </c>
      <c r="H95" s="10">
        <f>11870+35618+355+6150-35618-6150</f>
        <v>12225</v>
      </c>
      <c r="I95" s="39">
        <f>35618+6150</f>
        <v>41768</v>
      </c>
      <c r="J95" s="12">
        <f t="shared" si="13"/>
        <v>53993</v>
      </c>
      <c r="K95" s="12">
        <f>24873+3245</f>
        <v>28118</v>
      </c>
      <c r="L95" s="12"/>
      <c r="M95" s="12"/>
      <c r="N95" s="12"/>
      <c r="O95" s="12"/>
      <c r="P95" s="12"/>
      <c r="Q95" s="12"/>
      <c r="R95" s="12"/>
      <c r="S95" s="13"/>
      <c r="T95" s="722">
        <f>L103+M103+N103+O103+P103+Q103+R103+L104+M104+N104+O104+P104+Q104+S103+S104+R104</f>
        <v>0</v>
      </c>
    </row>
    <row r="96" spans="1:20" ht="12.75">
      <c r="A96" s="763"/>
      <c r="B96" s="765"/>
      <c r="C96" s="768"/>
      <c r="D96" s="748"/>
      <c r="E96" s="729"/>
      <c r="F96" s="746">
        <f>SUM(H103:S103)</f>
        <v>496140</v>
      </c>
      <c r="G96" s="15" t="s">
        <v>16</v>
      </c>
      <c r="H96" s="16"/>
      <c r="I96" s="17"/>
      <c r="J96" s="18">
        <f t="shared" si="13"/>
        <v>0</v>
      </c>
      <c r="K96" s="18"/>
      <c r="L96" s="18"/>
      <c r="M96" s="18"/>
      <c r="N96" s="18"/>
      <c r="O96" s="18"/>
      <c r="P96" s="18"/>
      <c r="Q96" s="18"/>
      <c r="R96" s="18"/>
      <c r="S96" s="19"/>
      <c r="T96" s="744"/>
    </row>
    <row r="97" spans="1:20" ht="12.75">
      <c r="A97" s="763"/>
      <c r="B97" s="765"/>
      <c r="C97" s="768"/>
      <c r="D97" s="748"/>
      <c r="E97" s="729"/>
      <c r="F97" s="728"/>
      <c r="G97" s="15" t="s">
        <v>17</v>
      </c>
      <c r="H97" s="16"/>
      <c r="I97" s="17"/>
      <c r="J97" s="18">
        <f t="shared" si="13"/>
        <v>0</v>
      </c>
      <c r="K97" s="18"/>
      <c r="L97" s="18"/>
      <c r="M97" s="18"/>
      <c r="N97" s="18"/>
      <c r="O97" s="18"/>
      <c r="P97" s="18"/>
      <c r="Q97" s="18"/>
      <c r="R97" s="18"/>
      <c r="S97" s="19"/>
      <c r="T97" s="744"/>
    </row>
    <row r="98" spans="1:20" ht="12.75">
      <c r="A98" s="763"/>
      <c r="B98" s="765"/>
      <c r="C98" s="768"/>
      <c r="D98" s="748"/>
      <c r="E98" s="729"/>
      <c r="F98" s="21" t="s">
        <v>18</v>
      </c>
      <c r="G98" s="15" t="s">
        <v>19</v>
      </c>
      <c r="H98" s="16"/>
      <c r="I98" s="17"/>
      <c r="J98" s="18">
        <f t="shared" si="13"/>
        <v>0</v>
      </c>
      <c r="K98" s="18"/>
      <c r="L98" s="18"/>
      <c r="M98" s="18"/>
      <c r="N98" s="18"/>
      <c r="O98" s="18"/>
      <c r="P98" s="18"/>
      <c r="Q98" s="18"/>
      <c r="R98" s="18"/>
      <c r="S98" s="19"/>
      <c r="T98" s="744"/>
    </row>
    <row r="99" spans="1:20" ht="12.75">
      <c r="A99" s="763"/>
      <c r="B99" s="765"/>
      <c r="C99" s="768"/>
      <c r="D99" s="748"/>
      <c r="E99" s="729"/>
      <c r="F99" s="746">
        <f>SUM(H104:S104)</f>
        <v>0</v>
      </c>
      <c r="G99" s="15" t="s">
        <v>20</v>
      </c>
      <c r="H99" s="16">
        <f>36099+106854-106854</f>
        <v>36099</v>
      </c>
      <c r="I99" s="17">
        <v>106854</v>
      </c>
      <c r="J99" s="18">
        <f t="shared" si="13"/>
        <v>142953</v>
      </c>
      <c r="K99" s="18">
        <v>74130</v>
      </c>
      <c r="L99" s="18"/>
      <c r="M99" s="18"/>
      <c r="N99" s="18"/>
      <c r="O99" s="18"/>
      <c r="P99" s="18"/>
      <c r="Q99" s="18"/>
      <c r="R99" s="18"/>
      <c r="S99" s="19"/>
      <c r="T99" s="744"/>
    </row>
    <row r="100" spans="1:20" ht="12.75">
      <c r="A100" s="763"/>
      <c r="B100" s="765"/>
      <c r="C100" s="768"/>
      <c r="D100" s="748"/>
      <c r="E100" s="729">
        <v>2011</v>
      </c>
      <c r="F100" s="728"/>
      <c r="G100" s="15" t="s">
        <v>21</v>
      </c>
      <c r="H100" s="16"/>
      <c r="I100" s="17"/>
      <c r="J100" s="18">
        <f t="shared" si="13"/>
        <v>0</v>
      </c>
      <c r="K100" s="18"/>
      <c r="L100" s="18"/>
      <c r="M100" s="18"/>
      <c r="N100" s="18"/>
      <c r="O100" s="18"/>
      <c r="P100" s="18"/>
      <c r="Q100" s="18"/>
      <c r="R100" s="18"/>
      <c r="S100" s="19"/>
      <c r="T100" s="744"/>
    </row>
    <row r="101" spans="1:20" ht="12.75">
      <c r="A101" s="763"/>
      <c r="B101" s="765"/>
      <c r="C101" s="768"/>
      <c r="D101" s="748"/>
      <c r="E101" s="729"/>
      <c r="F101" s="21" t="s">
        <v>22</v>
      </c>
      <c r="G101" s="15" t="s">
        <v>23</v>
      </c>
      <c r="H101" s="16"/>
      <c r="I101" s="17"/>
      <c r="J101" s="18">
        <f t="shared" si="13"/>
        <v>0</v>
      </c>
      <c r="K101" s="18"/>
      <c r="L101" s="18"/>
      <c r="M101" s="18"/>
      <c r="N101" s="18"/>
      <c r="O101" s="18"/>
      <c r="P101" s="18"/>
      <c r="Q101" s="18"/>
      <c r="R101" s="18"/>
      <c r="S101" s="19"/>
      <c r="T101" s="744"/>
    </row>
    <row r="102" spans="1:20" ht="12.75">
      <c r="A102" s="763"/>
      <c r="B102" s="765"/>
      <c r="C102" s="768"/>
      <c r="D102" s="748"/>
      <c r="E102" s="729"/>
      <c r="F102" s="746">
        <f>F96+F99</f>
        <v>496140</v>
      </c>
      <c r="G102" s="15" t="s">
        <v>24</v>
      </c>
      <c r="H102" s="16"/>
      <c r="I102" s="17"/>
      <c r="J102" s="18">
        <f t="shared" si="13"/>
        <v>0</v>
      </c>
      <c r="K102" s="18"/>
      <c r="L102" s="18"/>
      <c r="M102" s="18"/>
      <c r="N102" s="18"/>
      <c r="O102" s="18"/>
      <c r="P102" s="18"/>
      <c r="Q102" s="18"/>
      <c r="R102" s="18"/>
      <c r="S102" s="19"/>
      <c r="T102" s="744"/>
    </row>
    <row r="103" spans="1:20" ht="12.75">
      <c r="A103" s="763"/>
      <c r="B103" s="765"/>
      <c r="C103" s="768"/>
      <c r="D103" s="748"/>
      <c r="E103" s="729"/>
      <c r="F103" s="731"/>
      <c r="G103" s="15" t="s">
        <v>25</v>
      </c>
      <c r="H103" s="22">
        <f>H95+H97+H99+H101</f>
        <v>48324</v>
      </c>
      <c r="I103" s="23">
        <f>I95+I97+I99+I101</f>
        <v>148622</v>
      </c>
      <c r="J103" s="24">
        <f t="shared" si="13"/>
        <v>196946</v>
      </c>
      <c r="K103" s="24">
        <f aca="true" t="shared" si="20" ref="K103:S103">K95+K97+K99+K101</f>
        <v>102248</v>
      </c>
      <c r="L103" s="24">
        <f t="shared" si="20"/>
        <v>0</v>
      </c>
      <c r="M103" s="24">
        <f t="shared" si="20"/>
        <v>0</v>
      </c>
      <c r="N103" s="24">
        <f t="shared" si="20"/>
        <v>0</v>
      </c>
      <c r="O103" s="24">
        <f t="shared" si="20"/>
        <v>0</v>
      </c>
      <c r="P103" s="24">
        <f t="shared" si="20"/>
        <v>0</v>
      </c>
      <c r="Q103" s="24">
        <f t="shared" si="20"/>
        <v>0</v>
      </c>
      <c r="R103" s="24">
        <f t="shared" si="20"/>
        <v>0</v>
      </c>
      <c r="S103" s="25">
        <f t="shared" si="20"/>
        <v>0</v>
      </c>
      <c r="T103" s="744"/>
    </row>
    <row r="104" spans="1:20" ht="13.5" thickBot="1">
      <c r="A104" s="751"/>
      <c r="B104" s="766"/>
      <c r="C104" s="736"/>
      <c r="D104" s="749"/>
      <c r="E104" s="723"/>
      <c r="F104" s="732"/>
      <c r="G104" s="26" t="s">
        <v>26</v>
      </c>
      <c r="H104" s="27">
        <f>H96+H98+H100+H102</f>
        <v>0</v>
      </c>
      <c r="I104" s="28">
        <f>I96+I98+I100+I102</f>
        <v>0</v>
      </c>
      <c r="J104" s="29">
        <f t="shared" si="13"/>
        <v>0</v>
      </c>
      <c r="K104" s="29">
        <f aca="true" t="shared" si="21" ref="K104:S104">K96+K98+K100+K102</f>
        <v>0</v>
      </c>
      <c r="L104" s="30">
        <f t="shared" si="21"/>
        <v>0</v>
      </c>
      <c r="M104" s="30">
        <f t="shared" si="21"/>
        <v>0</v>
      </c>
      <c r="N104" s="30">
        <f t="shared" si="21"/>
        <v>0</v>
      </c>
      <c r="O104" s="30">
        <f t="shared" si="21"/>
        <v>0</v>
      </c>
      <c r="P104" s="30">
        <f t="shared" si="21"/>
        <v>0</v>
      </c>
      <c r="Q104" s="30">
        <f t="shared" si="21"/>
        <v>0</v>
      </c>
      <c r="R104" s="30">
        <f t="shared" si="21"/>
        <v>0</v>
      </c>
      <c r="S104" s="31">
        <f t="shared" si="21"/>
        <v>0</v>
      </c>
      <c r="T104" s="745"/>
    </row>
    <row r="105" spans="1:20" ht="12.75">
      <c r="A105" s="724">
        <v>11</v>
      </c>
      <c r="B105" s="764" t="s">
        <v>39</v>
      </c>
      <c r="C105" s="767">
        <v>71095</v>
      </c>
      <c r="D105" s="747" t="s">
        <v>34</v>
      </c>
      <c r="E105" s="733">
        <v>2009</v>
      </c>
      <c r="F105" s="8" t="s">
        <v>14</v>
      </c>
      <c r="G105" s="32" t="s">
        <v>15</v>
      </c>
      <c r="H105" s="33">
        <f>13605+40174+12500+36867-40174-36867</f>
        <v>26105</v>
      </c>
      <c r="I105" s="11">
        <f>40174+36867</f>
        <v>77041</v>
      </c>
      <c r="J105" s="12">
        <f t="shared" si="13"/>
        <v>103146</v>
      </c>
      <c r="K105" s="12">
        <f>40046+36869</f>
        <v>76915</v>
      </c>
      <c r="L105" s="34"/>
      <c r="M105" s="34"/>
      <c r="N105" s="34"/>
      <c r="O105" s="34"/>
      <c r="P105" s="34"/>
      <c r="Q105" s="34"/>
      <c r="R105" s="34"/>
      <c r="S105" s="35"/>
      <c r="T105" s="743">
        <f>L113+M113+N113+O113+P113+Q113+R113+L114+M114+N114+O114+P114+Q114+S113+S114+R114</f>
        <v>0</v>
      </c>
    </row>
    <row r="106" spans="1:20" ht="12.75">
      <c r="A106" s="763"/>
      <c r="B106" s="765"/>
      <c r="C106" s="768"/>
      <c r="D106" s="748"/>
      <c r="E106" s="729"/>
      <c r="F106" s="746">
        <f>SUM(H113:S113)</f>
        <v>1119621</v>
      </c>
      <c r="G106" s="15" t="s">
        <v>16</v>
      </c>
      <c r="H106" s="16"/>
      <c r="I106" s="17"/>
      <c r="J106" s="18">
        <f t="shared" si="13"/>
        <v>0</v>
      </c>
      <c r="K106" s="18"/>
      <c r="L106" s="18"/>
      <c r="M106" s="18"/>
      <c r="N106" s="18"/>
      <c r="O106" s="18"/>
      <c r="P106" s="18"/>
      <c r="Q106" s="18"/>
      <c r="R106" s="18"/>
      <c r="S106" s="19"/>
      <c r="T106" s="744"/>
    </row>
    <row r="107" spans="1:20" ht="12.75">
      <c r="A107" s="763"/>
      <c r="B107" s="765"/>
      <c r="C107" s="768"/>
      <c r="D107" s="748"/>
      <c r="E107" s="729"/>
      <c r="F107" s="728"/>
      <c r="G107" s="15" t="s">
        <v>17</v>
      </c>
      <c r="H107" s="16"/>
      <c r="I107" s="17"/>
      <c r="J107" s="18">
        <f t="shared" si="13"/>
        <v>0</v>
      </c>
      <c r="K107" s="18"/>
      <c r="L107" s="18"/>
      <c r="M107" s="18"/>
      <c r="N107" s="18"/>
      <c r="O107" s="18"/>
      <c r="P107" s="18"/>
      <c r="Q107" s="18"/>
      <c r="R107" s="18"/>
      <c r="S107" s="19"/>
      <c r="T107" s="744"/>
    </row>
    <row r="108" spans="1:20" ht="12.75">
      <c r="A108" s="763"/>
      <c r="B108" s="765"/>
      <c r="C108" s="768"/>
      <c r="D108" s="748"/>
      <c r="E108" s="729"/>
      <c r="F108" s="21" t="s">
        <v>18</v>
      </c>
      <c r="G108" s="15" t="s">
        <v>19</v>
      </c>
      <c r="H108" s="16"/>
      <c r="I108" s="17"/>
      <c r="J108" s="18">
        <f t="shared" si="13"/>
        <v>0</v>
      </c>
      <c r="K108" s="18"/>
      <c r="L108" s="18"/>
      <c r="M108" s="18"/>
      <c r="N108" s="18"/>
      <c r="O108" s="18"/>
      <c r="P108" s="18"/>
      <c r="Q108" s="18"/>
      <c r="R108" s="18"/>
      <c r="S108" s="19"/>
      <c r="T108" s="744"/>
    </row>
    <row r="109" spans="1:20" ht="12.75">
      <c r="A109" s="763"/>
      <c r="B109" s="765"/>
      <c r="C109" s="768"/>
      <c r="D109" s="748"/>
      <c r="E109" s="729"/>
      <c r="F109" s="746">
        <f>SUM(H114:S114)</f>
        <v>0</v>
      </c>
      <c r="G109" s="15" t="s">
        <v>20</v>
      </c>
      <c r="H109" s="16">
        <f>77090+227649-227649</f>
        <v>77090</v>
      </c>
      <c r="I109" s="17">
        <v>227649</v>
      </c>
      <c r="J109" s="18">
        <f t="shared" si="13"/>
        <v>304739</v>
      </c>
      <c r="K109" s="18">
        <v>226936</v>
      </c>
      <c r="L109" s="18"/>
      <c r="M109" s="18"/>
      <c r="N109" s="18"/>
      <c r="O109" s="18"/>
      <c r="P109" s="18"/>
      <c r="Q109" s="18"/>
      <c r="R109" s="18"/>
      <c r="S109" s="19"/>
      <c r="T109" s="744"/>
    </row>
    <row r="110" spans="1:20" ht="12.75">
      <c r="A110" s="763"/>
      <c r="B110" s="765"/>
      <c r="C110" s="768"/>
      <c r="D110" s="748"/>
      <c r="E110" s="729">
        <v>2011</v>
      </c>
      <c r="F110" s="728"/>
      <c r="G110" s="15" t="s">
        <v>21</v>
      </c>
      <c r="H110" s="16"/>
      <c r="I110" s="17"/>
      <c r="J110" s="18">
        <f t="shared" si="13"/>
        <v>0</v>
      </c>
      <c r="K110" s="18"/>
      <c r="L110" s="18"/>
      <c r="M110" s="18"/>
      <c r="N110" s="18"/>
      <c r="O110" s="18"/>
      <c r="P110" s="18"/>
      <c r="Q110" s="18"/>
      <c r="R110" s="18"/>
      <c r="S110" s="19"/>
      <c r="T110" s="744"/>
    </row>
    <row r="111" spans="1:20" ht="12.75">
      <c r="A111" s="763"/>
      <c r="B111" s="765"/>
      <c r="C111" s="768"/>
      <c r="D111" s="748"/>
      <c r="E111" s="729"/>
      <c r="F111" s="21" t="s">
        <v>22</v>
      </c>
      <c r="G111" s="15" t="s">
        <v>23</v>
      </c>
      <c r="H111" s="16"/>
      <c r="I111" s="17"/>
      <c r="J111" s="18">
        <f t="shared" si="13"/>
        <v>0</v>
      </c>
      <c r="K111" s="18"/>
      <c r="L111" s="18"/>
      <c r="M111" s="18"/>
      <c r="N111" s="18"/>
      <c r="O111" s="18"/>
      <c r="P111" s="18"/>
      <c r="Q111" s="18"/>
      <c r="R111" s="18"/>
      <c r="S111" s="19"/>
      <c r="T111" s="744"/>
    </row>
    <row r="112" spans="1:20" ht="12.75">
      <c r="A112" s="763"/>
      <c r="B112" s="765"/>
      <c r="C112" s="768"/>
      <c r="D112" s="748"/>
      <c r="E112" s="729"/>
      <c r="F112" s="746">
        <f>F106+F109</f>
        <v>1119621</v>
      </c>
      <c r="G112" s="15" t="s">
        <v>24</v>
      </c>
      <c r="H112" s="16"/>
      <c r="I112" s="17"/>
      <c r="J112" s="18">
        <f t="shared" si="13"/>
        <v>0</v>
      </c>
      <c r="K112" s="18"/>
      <c r="L112" s="18"/>
      <c r="M112" s="18"/>
      <c r="N112" s="18"/>
      <c r="O112" s="18"/>
      <c r="P112" s="18"/>
      <c r="Q112" s="18"/>
      <c r="R112" s="18"/>
      <c r="S112" s="19"/>
      <c r="T112" s="744"/>
    </row>
    <row r="113" spans="1:20" ht="12.75">
      <c r="A113" s="763"/>
      <c r="B113" s="765"/>
      <c r="C113" s="768"/>
      <c r="D113" s="748"/>
      <c r="E113" s="729"/>
      <c r="F113" s="731"/>
      <c r="G113" s="15" t="s">
        <v>25</v>
      </c>
      <c r="H113" s="22">
        <f>H105+H107+H109+H111</f>
        <v>103195</v>
      </c>
      <c r="I113" s="23">
        <f>I105+I107+I109+I111</f>
        <v>304690</v>
      </c>
      <c r="J113" s="24">
        <f t="shared" si="13"/>
        <v>407885</v>
      </c>
      <c r="K113" s="24">
        <f aca="true" t="shared" si="22" ref="K113:S113">K105+K107+K109+K111</f>
        <v>303851</v>
      </c>
      <c r="L113" s="24">
        <f t="shared" si="22"/>
        <v>0</v>
      </c>
      <c r="M113" s="24">
        <f t="shared" si="22"/>
        <v>0</v>
      </c>
      <c r="N113" s="24">
        <f t="shared" si="22"/>
        <v>0</v>
      </c>
      <c r="O113" s="24">
        <f t="shared" si="22"/>
        <v>0</v>
      </c>
      <c r="P113" s="24">
        <f t="shared" si="22"/>
        <v>0</v>
      </c>
      <c r="Q113" s="24">
        <f t="shared" si="22"/>
        <v>0</v>
      </c>
      <c r="R113" s="24">
        <f t="shared" si="22"/>
        <v>0</v>
      </c>
      <c r="S113" s="25">
        <f t="shared" si="22"/>
        <v>0</v>
      </c>
      <c r="T113" s="744"/>
    </row>
    <row r="114" spans="1:20" ht="13.5" thickBot="1">
      <c r="A114" s="725"/>
      <c r="B114" s="766"/>
      <c r="C114" s="769"/>
      <c r="D114" s="749"/>
      <c r="E114" s="730"/>
      <c r="F114" s="732"/>
      <c r="G114" s="36" t="s">
        <v>26</v>
      </c>
      <c r="H114" s="37">
        <f>H106+H108+H110+H112</f>
        <v>0</v>
      </c>
      <c r="I114" s="28">
        <f>I106+I108+I110+I112</f>
        <v>0</v>
      </c>
      <c r="J114" s="29">
        <f t="shared" si="13"/>
        <v>0</v>
      </c>
      <c r="K114" s="29">
        <f aca="true" t="shared" si="23" ref="K114:S114">K106+K108+K110+K112</f>
        <v>0</v>
      </c>
      <c r="L114" s="29">
        <f t="shared" si="23"/>
        <v>0</v>
      </c>
      <c r="M114" s="29">
        <f t="shared" si="23"/>
        <v>0</v>
      </c>
      <c r="N114" s="29">
        <f t="shared" si="23"/>
        <v>0</v>
      </c>
      <c r="O114" s="29">
        <f t="shared" si="23"/>
        <v>0</v>
      </c>
      <c r="P114" s="29">
        <f t="shared" si="23"/>
        <v>0</v>
      </c>
      <c r="Q114" s="29">
        <f t="shared" si="23"/>
        <v>0</v>
      </c>
      <c r="R114" s="29">
        <f t="shared" si="23"/>
        <v>0</v>
      </c>
      <c r="S114" s="38">
        <f t="shared" si="23"/>
        <v>0</v>
      </c>
      <c r="T114" s="745"/>
    </row>
    <row r="115" spans="1:20" ht="12.75">
      <c r="A115" s="724">
        <v>12</v>
      </c>
      <c r="B115" s="752" t="s">
        <v>40</v>
      </c>
      <c r="C115" s="739">
        <v>71095</v>
      </c>
      <c r="D115" s="747" t="s">
        <v>34</v>
      </c>
      <c r="E115" s="733">
        <v>2009</v>
      </c>
      <c r="F115" s="8" t="s">
        <v>14</v>
      </c>
      <c r="G115" s="32" t="s">
        <v>15</v>
      </c>
      <c r="H115" s="33">
        <f>45186+117731+27128+92587-117731-92587</f>
        <v>72314</v>
      </c>
      <c r="I115" s="11">
        <f>117731+92587</f>
        <v>210318</v>
      </c>
      <c r="J115" s="34">
        <f t="shared" si="13"/>
        <v>282632</v>
      </c>
      <c r="K115" s="34">
        <f>48495+47463</f>
        <v>95958</v>
      </c>
      <c r="L115" s="34"/>
      <c r="M115" s="34"/>
      <c r="N115" s="34"/>
      <c r="O115" s="34"/>
      <c r="P115" s="34"/>
      <c r="Q115" s="34"/>
      <c r="R115" s="34"/>
      <c r="S115" s="35"/>
      <c r="T115" s="743">
        <f>L123+M123+N123+O123+P123+Q123+R123+L124+M124+N124+O124+P124+Q124+S123+S124+R124</f>
        <v>0</v>
      </c>
    </row>
    <row r="116" spans="1:20" ht="12.75">
      <c r="A116" s="763"/>
      <c r="B116" s="737"/>
      <c r="C116" s="740"/>
      <c r="D116" s="748"/>
      <c r="E116" s="729"/>
      <c r="F116" s="746">
        <f>SUM(H123:S123)</f>
        <v>1784276</v>
      </c>
      <c r="G116" s="15" t="s">
        <v>16</v>
      </c>
      <c r="H116" s="16"/>
      <c r="I116" s="17"/>
      <c r="J116" s="18">
        <f t="shared" si="13"/>
        <v>0</v>
      </c>
      <c r="K116" s="18"/>
      <c r="L116" s="18"/>
      <c r="M116" s="18"/>
      <c r="N116" s="18"/>
      <c r="O116" s="18"/>
      <c r="P116" s="18"/>
      <c r="Q116" s="18"/>
      <c r="R116" s="18"/>
      <c r="S116" s="19"/>
      <c r="T116" s="744"/>
    </row>
    <row r="117" spans="1:20" ht="12.75">
      <c r="A117" s="763"/>
      <c r="B117" s="737"/>
      <c r="C117" s="740"/>
      <c r="D117" s="748"/>
      <c r="E117" s="729"/>
      <c r="F117" s="728"/>
      <c r="G117" s="15" t="s">
        <v>17</v>
      </c>
      <c r="H117" s="16"/>
      <c r="I117" s="17"/>
      <c r="J117" s="18">
        <f t="shared" si="13"/>
        <v>0</v>
      </c>
      <c r="K117" s="18"/>
      <c r="L117" s="18"/>
      <c r="M117" s="18"/>
      <c r="N117" s="18"/>
      <c r="O117" s="18"/>
      <c r="P117" s="18"/>
      <c r="Q117" s="18"/>
      <c r="R117" s="18"/>
      <c r="S117" s="19"/>
      <c r="T117" s="744"/>
    </row>
    <row r="118" spans="1:20" ht="12.75">
      <c r="A118" s="763"/>
      <c r="B118" s="737"/>
      <c r="C118" s="740"/>
      <c r="D118" s="748"/>
      <c r="E118" s="729"/>
      <c r="F118" s="21" t="s">
        <v>18</v>
      </c>
      <c r="G118" s="15" t="s">
        <v>19</v>
      </c>
      <c r="H118" s="16"/>
      <c r="I118" s="17"/>
      <c r="J118" s="18">
        <f t="shared" si="13"/>
        <v>0</v>
      </c>
      <c r="K118" s="18"/>
      <c r="L118" s="18"/>
      <c r="M118" s="18"/>
      <c r="N118" s="18"/>
      <c r="O118" s="18"/>
      <c r="P118" s="18"/>
      <c r="Q118" s="18"/>
      <c r="R118" s="18"/>
      <c r="S118" s="19"/>
      <c r="T118" s="744"/>
    </row>
    <row r="119" spans="1:20" ht="12.75">
      <c r="A119" s="763"/>
      <c r="B119" s="737"/>
      <c r="C119" s="740"/>
      <c r="D119" s="748"/>
      <c r="E119" s="729"/>
      <c r="F119" s="746">
        <f>SUM(H124:S124)</f>
        <v>0</v>
      </c>
      <c r="G119" s="15" t="s">
        <v>20</v>
      </c>
      <c r="H119" s="16">
        <f>135625+353193-353193</f>
        <v>135625</v>
      </c>
      <c r="I119" s="17">
        <v>353193</v>
      </c>
      <c r="J119" s="18">
        <f t="shared" si="13"/>
        <v>488818</v>
      </c>
      <c r="K119" s="18">
        <v>145418</v>
      </c>
      <c r="L119" s="18"/>
      <c r="M119" s="18"/>
      <c r="N119" s="18"/>
      <c r="O119" s="18"/>
      <c r="P119" s="18"/>
      <c r="Q119" s="18"/>
      <c r="R119" s="18"/>
      <c r="S119" s="19"/>
      <c r="T119" s="744"/>
    </row>
    <row r="120" spans="1:20" ht="12.75">
      <c r="A120" s="763"/>
      <c r="B120" s="737"/>
      <c r="C120" s="740"/>
      <c r="D120" s="748"/>
      <c r="E120" s="729">
        <v>2011</v>
      </c>
      <c r="F120" s="728"/>
      <c r="G120" s="15" t="s">
        <v>21</v>
      </c>
      <c r="H120" s="16"/>
      <c r="I120" s="17"/>
      <c r="J120" s="18">
        <f t="shared" si="13"/>
        <v>0</v>
      </c>
      <c r="K120" s="18"/>
      <c r="L120" s="18"/>
      <c r="M120" s="18"/>
      <c r="N120" s="18"/>
      <c r="O120" s="18"/>
      <c r="P120" s="18"/>
      <c r="Q120" s="18"/>
      <c r="R120" s="18"/>
      <c r="S120" s="19"/>
      <c r="T120" s="744"/>
    </row>
    <row r="121" spans="1:20" ht="12.75">
      <c r="A121" s="763"/>
      <c r="B121" s="737"/>
      <c r="C121" s="740"/>
      <c r="D121" s="748"/>
      <c r="E121" s="729"/>
      <c r="F121" s="21" t="s">
        <v>22</v>
      </c>
      <c r="G121" s="15" t="s">
        <v>23</v>
      </c>
      <c r="H121" s="16"/>
      <c r="I121" s="17"/>
      <c r="J121" s="18">
        <f t="shared" si="13"/>
        <v>0</v>
      </c>
      <c r="K121" s="18"/>
      <c r="L121" s="18"/>
      <c r="M121" s="18"/>
      <c r="N121" s="18"/>
      <c r="O121" s="18"/>
      <c r="P121" s="18"/>
      <c r="Q121" s="18"/>
      <c r="R121" s="18"/>
      <c r="S121" s="19"/>
      <c r="T121" s="744"/>
    </row>
    <row r="122" spans="1:20" ht="12.75">
      <c r="A122" s="763"/>
      <c r="B122" s="737"/>
      <c r="C122" s="740"/>
      <c r="D122" s="748"/>
      <c r="E122" s="729"/>
      <c r="F122" s="746">
        <f>F116+F119</f>
        <v>1784276</v>
      </c>
      <c r="G122" s="15" t="s">
        <v>24</v>
      </c>
      <c r="H122" s="16"/>
      <c r="I122" s="17"/>
      <c r="J122" s="18">
        <f t="shared" si="13"/>
        <v>0</v>
      </c>
      <c r="K122" s="18"/>
      <c r="L122" s="18"/>
      <c r="M122" s="18"/>
      <c r="N122" s="18"/>
      <c r="O122" s="18"/>
      <c r="P122" s="18"/>
      <c r="Q122" s="18"/>
      <c r="R122" s="18"/>
      <c r="S122" s="19"/>
      <c r="T122" s="744"/>
    </row>
    <row r="123" spans="1:20" ht="12.75">
      <c r="A123" s="763"/>
      <c r="B123" s="737"/>
      <c r="C123" s="740"/>
      <c r="D123" s="748"/>
      <c r="E123" s="729"/>
      <c r="F123" s="731"/>
      <c r="G123" s="15" t="s">
        <v>25</v>
      </c>
      <c r="H123" s="22">
        <f>H115+H117+H119+H121</f>
        <v>207939</v>
      </c>
      <c r="I123" s="23">
        <f>I115+I117+I119+I121</f>
        <v>563511</v>
      </c>
      <c r="J123" s="24">
        <f t="shared" si="13"/>
        <v>771450</v>
      </c>
      <c r="K123" s="24">
        <f aca="true" t="shared" si="24" ref="K123:S123">K115+K117+K119+K121</f>
        <v>241376</v>
      </c>
      <c r="L123" s="24">
        <f t="shared" si="24"/>
        <v>0</v>
      </c>
      <c r="M123" s="24">
        <f t="shared" si="24"/>
        <v>0</v>
      </c>
      <c r="N123" s="24">
        <f t="shared" si="24"/>
        <v>0</v>
      </c>
      <c r="O123" s="24">
        <f t="shared" si="24"/>
        <v>0</v>
      </c>
      <c r="P123" s="24">
        <f t="shared" si="24"/>
        <v>0</v>
      </c>
      <c r="Q123" s="24">
        <f t="shared" si="24"/>
        <v>0</v>
      </c>
      <c r="R123" s="24">
        <f t="shared" si="24"/>
        <v>0</v>
      </c>
      <c r="S123" s="25">
        <f t="shared" si="24"/>
        <v>0</v>
      </c>
      <c r="T123" s="744"/>
    </row>
    <row r="124" spans="1:20" ht="13.5" thickBot="1">
      <c r="A124" s="725"/>
      <c r="B124" s="738"/>
      <c r="C124" s="741"/>
      <c r="D124" s="742"/>
      <c r="E124" s="730"/>
      <c r="F124" s="732"/>
      <c r="G124" s="36" t="s">
        <v>26</v>
      </c>
      <c r="H124" s="37">
        <f>H116+H118+H120+H122</f>
        <v>0</v>
      </c>
      <c r="I124" s="28">
        <f>I116+I118++I120+I122</f>
        <v>0</v>
      </c>
      <c r="J124" s="29">
        <f t="shared" si="13"/>
        <v>0</v>
      </c>
      <c r="K124" s="29">
        <f aca="true" t="shared" si="25" ref="K124:S124">K116+K118+K120+K122</f>
        <v>0</v>
      </c>
      <c r="L124" s="29">
        <f t="shared" si="25"/>
        <v>0</v>
      </c>
      <c r="M124" s="29">
        <f t="shared" si="25"/>
        <v>0</v>
      </c>
      <c r="N124" s="29">
        <f t="shared" si="25"/>
        <v>0</v>
      </c>
      <c r="O124" s="29">
        <f t="shared" si="25"/>
        <v>0</v>
      </c>
      <c r="P124" s="29">
        <f t="shared" si="25"/>
        <v>0</v>
      </c>
      <c r="Q124" s="29">
        <f t="shared" si="25"/>
        <v>0</v>
      </c>
      <c r="R124" s="29">
        <f t="shared" si="25"/>
        <v>0</v>
      </c>
      <c r="S124" s="38">
        <f t="shared" si="25"/>
        <v>0</v>
      </c>
      <c r="T124" s="745"/>
    </row>
    <row r="125" spans="1:20" ht="12.75" customHeight="1">
      <c r="A125" s="724">
        <v>13</v>
      </c>
      <c r="B125" s="752" t="s">
        <v>41</v>
      </c>
      <c r="C125" s="739">
        <v>71095</v>
      </c>
      <c r="D125" s="747" t="s">
        <v>34</v>
      </c>
      <c r="E125" s="733">
        <v>2009</v>
      </c>
      <c r="F125" s="8" t="s">
        <v>14</v>
      </c>
      <c r="G125" s="32" t="s">
        <v>15</v>
      </c>
      <c r="H125" s="33">
        <f>58006+8959+541+81496-58006-81496</f>
        <v>9500</v>
      </c>
      <c r="I125" s="11">
        <f>58006+81496</f>
        <v>139502</v>
      </c>
      <c r="J125" s="12">
        <f t="shared" si="13"/>
        <v>149002</v>
      </c>
      <c r="K125" s="12">
        <f>98355+100801</f>
        <v>199156</v>
      </c>
      <c r="L125" s="34"/>
      <c r="M125" s="34"/>
      <c r="N125" s="34"/>
      <c r="O125" s="34"/>
      <c r="P125" s="34"/>
      <c r="Q125" s="34"/>
      <c r="R125" s="34"/>
      <c r="S125" s="35"/>
      <c r="T125" s="743">
        <f>L133+M133+N133+O133+P133+Q133+R133+L134+M134+N134+O134+P134+Q134+S133+S134+R134</f>
        <v>0</v>
      </c>
    </row>
    <row r="126" spans="1:20" ht="12.75">
      <c r="A126" s="763"/>
      <c r="B126" s="737"/>
      <c r="C126" s="740"/>
      <c r="D126" s="748"/>
      <c r="E126" s="729"/>
      <c r="F126" s="746">
        <f>SUM(H133:S133)</f>
        <v>1813419</v>
      </c>
      <c r="G126" s="15" t="s">
        <v>16</v>
      </c>
      <c r="H126" s="16"/>
      <c r="I126" s="17"/>
      <c r="J126" s="18">
        <f t="shared" si="13"/>
        <v>0</v>
      </c>
      <c r="K126" s="18"/>
      <c r="L126" s="18"/>
      <c r="M126" s="18"/>
      <c r="N126" s="18"/>
      <c r="O126" s="18"/>
      <c r="P126" s="18"/>
      <c r="Q126" s="18"/>
      <c r="R126" s="18"/>
      <c r="S126" s="19"/>
      <c r="T126" s="744"/>
    </row>
    <row r="127" spans="1:20" ht="12.75">
      <c r="A127" s="763"/>
      <c r="B127" s="737"/>
      <c r="C127" s="740"/>
      <c r="D127" s="748"/>
      <c r="E127" s="729"/>
      <c r="F127" s="728"/>
      <c r="G127" s="15" t="s">
        <v>17</v>
      </c>
      <c r="H127" s="16"/>
      <c r="I127" s="17"/>
      <c r="J127" s="18">
        <f t="shared" si="13"/>
        <v>0</v>
      </c>
      <c r="K127" s="18"/>
      <c r="L127" s="18"/>
      <c r="M127" s="18"/>
      <c r="N127" s="18"/>
      <c r="O127" s="18"/>
      <c r="P127" s="18"/>
      <c r="Q127" s="18"/>
      <c r="R127" s="18"/>
      <c r="S127" s="19"/>
      <c r="T127" s="744"/>
    </row>
    <row r="128" spans="1:20" ht="12.75">
      <c r="A128" s="763"/>
      <c r="B128" s="737"/>
      <c r="C128" s="740"/>
      <c r="D128" s="748"/>
      <c r="E128" s="729"/>
      <c r="F128" s="21" t="s">
        <v>18</v>
      </c>
      <c r="G128" s="15" t="s">
        <v>19</v>
      </c>
      <c r="H128" s="16"/>
      <c r="I128" s="17"/>
      <c r="J128" s="18">
        <f t="shared" si="13"/>
        <v>0</v>
      </c>
      <c r="K128" s="18"/>
      <c r="L128" s="18"/>
      <c r="M128" s="18"/>
      <c r="N128" s="18"/>
      <c r="O128" s="18"/>
      <c r="P128" s="18"/>
      <c r="Q128" s="18"/>
      <c r="R128" s="18"/>
      <c r="S128" s="19"/>
      <c r="T128" s="744"/>
    </row>
    <row r="129" spans="1:20" ht="12.75">
      <c r="A129" s="763"/>
      <c r="B129" s="737"/>
      <c r="C129" s="740"/>
      <c r="D129" s="748"/>
      <c r="E129" s="729"/>
      <c r="F129" s="746">
        <f>SUM(H134:S134)</f>
        <v>0</v>
      </c>
      <c r="G129" s="15" t="s">
        <v>20</v>
      </c>
      <c r="H129" s="16">
        <f>50837+328611-328611</f>
        <v>50837</v>
      </c>
      <c r="I129" s="17">
        <v>328611</v>
      </c>
      <c r="J129" s="18">
        <f t="shared" si="13"/>
        <v>379448</v>
      </c>
      <c r="K129" s="18">
        <v>557363</v>
      </c>
      <c r="L129" s="18"/>
      <c r="M129" s="18"/>
      <c r="N129" s="18"/>
      <c r="O129" s="18"/>
      <c r="P129" s="18"/>
      <c r="Q129" s="18"/>
      <c r="R129" s="18"/>
      <c r="S129" s="19"/>
      <c r="T129" s="744"/>
    </row>
    <row r="130" spans="1:20" ht="12.75">
      <c r="A130" s="763"/>
      <c r="B130" s="737"/>
      <c r="C130" s="740"/>
      <c r="D130" s="748"/>
      <c r="E130" s="729">
        <v>2011</v>
      </c>
      <c r="F130" s="728"/>
      <c r="G130" s="15" t="s">
        <v>21</v>
      </c>
      <c r="H130" s="16"/>
      <c r="I130" s="17"/>
      <c r="J130" s="18">
        <f t="shared" si="13"/>
        <v>0</v>
      </c>
      <c r="K130" s="18"/>
      <c r="L130" s="18"/>
      <c r="M130" s="18"/>
      <c r="N130" s="18"/>
      <c r="O130" s="18"/>
      <c r="P130" s="18"/>
      <c r="Q130" s="18"/>
      <c r="R130" s="18"/>
      <c r="S130" s="19"/>
      <c r="T130" s="744"/>
    </row>
    <row r="131" spans="1:20" ht="12.75">
      <c r="A131" s="763"/>
      <c r="B131" s="737"/>
      <c r="C131" s="740"/>
      <c r="D131" s="748"/>
      <c r="E131" s="729"/>
      <c r="F131" s="21" t="s">
        <v>22</v>
      </c>
      <c r="G131" s="15" t="s">
        <v>23</v>
      </c>
      <c r="H131" s="16"/>
      <c r="I131" s="17"/>
      <c r="J131" s="18">
        <f t="shared" si="13"/>
        <v>0</v>
      </c>
      <c r="K131" s="18"/>
      <c r="L131" s="18"/>
      <c r="M131" s="18"/>
      <c r="N131" s="18"/>
      <c r="O131" s="18"/>
      <c r="P131" s="18"/>
      <c r="Q131" s="18"/>
      <c r="R131" s="18"/>
      <c r="S131" s="19"/>
      <c r="T131" s="744"/>
    </row>
    <row r="132" spans="1:20" ht="12.75">
      <c r="A132" s="763"/>
      <c r="B132" s="737"/>
      <c r="C132" s="740"/>
      <c r="D132" s="748"/>
      <c r="E132" s="729"/>
      <c r="F132" s="746">
        <f>F126+F129</f>
        <v>1813419</v>
      </c>
      <c r="G132" s="15" t="s">
        <v>24</v>
      </c>
      <c r="H132" s="16"/>
      <c r="I132" s="17"/>
      <c r="J132" s="18">
        <f t="shared" si="13"/>
        <v>0</v>
      </c>
      <c r="K132" s="18"/>
      <c r="L132" s="18"/>
      <c r="M132" s="18"/>
      <c r="N132" s="18"/>
      <c r="O132" s="18"/>
      <c r="P132" s="18"/>
      <c r="Q132" s="18"/>
      <c r="R132" s="18"/>
      <c r="S132" s="19"/>
      <c r="T132" s="744"/>
    </row>
    <row r="133" spans="1:20" ht="12.75">
      <c r="A133" s="763"/>
      <c r="B133" s="737"/>
      <c r="C133" s="740"/>
      <c r="D133" s="748"/>
      <c r="E133" s="729"/>
      <c r="F133" s="731"/>
      <c r="G133" s="15" t="s">
        <v>25</v>
      </c>
      <c r="H133" s="22">
        <f>H125+H127+H129+H131</f>
        <v>60337</v>
      </c>
      <c r="I133" s="23">
        <f>I125+I127+I129+I131</f>
        <v>468113</v>
      </c>
      <c r="J133" s="24">
        <f t="shared" si="13"/>
        <v>528450</v>
      </c>
      <c r="K133" s="24">
        <f aca="true" t="shared" si="26" ref="K133:S133">K125+K127+K129+K131</f>
        <v>756519</v>
      </c>
      <c r="L133" s="24">
        <f t="shared" si="26"/>
        <v>0</v>
      </c>
      <c r="M133" s="24">
        <f t="shared" si="26"/>
        <v>0</v>
      </c>
      <c r="N133" s="24">
        <f t="shared" si="26"/>
        <v>0</v>
      </c>
      <c r="O133" s="24">
        <f t="shared" si="26"/>
        <v>0</v>
      </c>
      <c r="P133" s="24">
        <f t="shared" si="26"/>
        <v>0</v>
      </c>
      <c r="Q133" s="24">
        <f t="shared" si="26"/>
        <v>0</v>
      </c>
      <c r="R133" s="24">
        <f t="shared" si="26"/>
        <v>0</v>
      </c>
      <c r="S133" s="25">
        <f t="shared" si="26"/>
        <v>0</v>
      </c>
      <c r="T133" s="744"/>
    </row>
    <row r="134" spans="1:20" ht="13.5" thickBot="1">
      <c r="A134" s="725"/>
      <c r="B134" s="738"/>
      <c r="C134" s="741"/>
      <c r="D134" s="749"/>
      <c r="E134" s="730"/>
      <c r="F134" s="732"/>
      <c r="G134" s="36" t="s">
        <v>26</v>
      </c>
      <c r="H134" s="37">
        <f>H126+H128+H130+H132</f>
        <v>0</v>
      </c>
      <c r="I134" s="28">
        <f>I126+I128+I130+I132</f>
        <v>0</v>
      </c>
      <c r="J134" s="29">
        <f aca="true" t="shared" si="27" ref="J134:J197">SUM(H134:I134)</f>
        <v>0</v>
      </c>
      <c r="K134" s="29">
        <f aca="true" t="shared" si="28" ref="K134:S134">K126+K128+K130+K132</f>
        <v>0</v>
      </c>
      <c r="L134" s="29">
        <f t="shared" si="28"/>
        <v>0</v>
      </c>
      <c r="M134" s="29">
        <f t="shared" si="28"/>
        <v>0</v>
      </c>
      <c r="N134" s="29">
        <f t="shared" si="28"/>
        <v>0</v>
      </c>
      <c r="O134" s="29">
        <f t="shared" si="28"/>
        <v>0</v>
      </c>
      <c r="P134" s="29">
        <f t="shared" si="28"/>
        <v>0</v>
      </c>
      <c r="Q134" s="29">
        <f t="shared" si="28"/>
        <v>0</v>
      </c>
      <c r="R134" s="29">
        <f t="shared" si="28"/>
        <v>0</v>
      </c>
      <c r="S134" s="38">
        <f t="shared" si="28"/>
        <v>0</v>
      </c>
      <c r="T134" s="745"/>
    </row>
    <row r="135" spans="1:20" ht="12.75" customHeight="1">
      <c r="A135" s="724">
        <v>14</v>
      </c>
      <c r="B135" s="752" t="s">
        <v>42</v>
      </c>
      <c r="C135" s="739">
        <v>60095</v>
      </c>
      <c r="D135" s="747" t="s">
        <v>37</v>
      </c>
      <c r="E135" s="733">
        <v>2008</v>
      </c>
      <c r="F135" s="8" t="s">
        <v>14</v>
      </c>
      <c r="G135" s="32" t="s">
        <v>15</v>
      </c>
      <c r="H135" s="33">
        <f>30000-30000</f>
        <v>0</v>
      </c>
      <c r="I135" s="11">
        <v>30000</v>
      </c>
      <c r="J135" s="12">
        <f t="shared" si="27"/>
        <v>30000</v>
      </c>
      <c r="K135" s="12">
        <v>30000</v>
      </c>
      <c r="L135" s="12">
        <v>9000</v>
      </c>
      <c r="M135" s="34"/>
      <c r="N135" s="34"/>
      <c r="O135" s="34"/>
      <c r="P135" s="34"/>
      <c r="Q135" s="34"/>
      <c r="R135" s="34"/>
      <c r="S135" s="35"/>
      <c r="T135" s="743">
        <f>L143+M143+N143+O143+P143+Q143+R143+L144+M144+N144+O144+P144+Q144+S143+S144+R144</f>
        <v>60000</v>
      </c>
    </row>
    <row r="136" spans="1:20" ht="12.75">
      <c r="A136" s="763"/>
      <c r="B136" s="737"/>
      <c r="C136" s="740"/>
      <c r="D136" s="748"/>
      <c r="E136" s="729"/>
      <c r="F136" s="746">
        <f>SUM(H143:S143)</f>
        <v>660000</v>
      </c>
      <c r="G136" s="15" t="s">
        <v>16</v>
      </c>
      <c r="H136" s="16"/>
      <c r="I136" s="17"/>
      <c r="J136" s="18">
        <f t="shared" si="27"/>
        <v>0</v>
      </c>
      <c r="K136" s="18"/>
      <c r="L136" s="18"/>
      <c r="M136" s="18"/>
      <c r="N136" s="18"/>
      <c r="O136" s="18"/>
      <c r="P136" s="18"/>
      <c r="Q136" s="18"/>
      <c r="R136" s="18"/>
      <c r="S136" s="19"/>
      <c r="T136" s="744"/>
    </row>
    <row r="137" spans="1:20" ht="12.75">
      <c r="A137" s="763"/>
      <c r="B137" s="737"/>
      <c r="C137" s="740"/>
      <c r="D137" s="748"/>
      <c r="E137" s="729"/>
      <c r="F137" s="728"/>
      <c r="G137" s="15" t="s">
        <v>17</v>
      </c>
      <c r="H137" s="16"/>
      <c r="I137" s="17"/>
      <c r="J137" s="18">
        <f t="shared" si="27"/>
        <v>0</v>
      </c>
      <c r="K137" s="18"/>
      <c r="L137" s="18"/>
      <c r="M137" s="18"/>
      <c r="N137" s="18"/>
      <c r="O137" s="18"/>
      <c r="P137" s="18"/>
      <c r="Q137" s="18"/>
      <c r="R137" s="18"/>
      <c r="S137" s="19"/>
      <c r="T137" s="744"/>
    </row>
    <row r="138" spans="1:20" ht="12.75">
      <c r="A138" s="763"/>
      <c r="B138" s="737"/>
      <c r="C138" s="740"/>
      <c r="D138" s="748"/>
      <c r="E138" s="729"/>
      <c r="F138" s="21" t="s">
        <v>18</v>
      </c>
      <c r="G138" s="15" t="s">
        <v>19</v>
      </c>
      <c r="H138" s="16"/>
      <c r="I138" s="17"/>
      <c r="J138" s="18">
        <f t="shared" si="27"/>
        <v>0</v>
      </c>
      <c r="K138" s="18"/>
      <c r="L138" s="18"/>
      <c r="M138" s="18"/>
      <c r="N138" s="18"/>
      <c r="O138" s="18"/>
      <c r="P138" s="18"/>
      <c r="Q138" s="18"/>
      <c r="R138" s="18"/>
      <c r="S138" s="19"/>
      <c r="T138" s="744"/>
    </row>
    <row r="139" spans="1:20" ht="12.75">
      <c r="A139" s="763"/>
      <c r="B139" s="737"/>
      <c r="C139" s="740"/>
      <c r="D139" s="748"/>
      <c r="E139" s="729"/>
      <c r="F139" s="746">
        <f>SUM(H144:S144)</f>
        <v>0</v>
      </c>
      <c r="G139" s="15" t="s">
        <v>20</v>
      </c>
      <c r="H139" s="16">
        <f>170000-170000</f>
        <v>0</v>
      </c>
      <c r="I139" s="17">
        <v>170000</v>
      </c>
      <c r="J139" s="18">
        <f t="shared" si="27"/>
        <v>170000</v>
      </c>
      <c r="K139" s="18">
        <v>170000</v>
      </c>
      <c r="L139" s="18">
        <v>51000</v>
      </c>
      <c r="M139" s="18"/>
      <c r="N139" s="18"/>
      <c r="O139" s="18"/>
      <c r="P139" s="18"/>
      <c r="Q139" s="18"/>
      <c r="R139" s="18"/>
      <c r="S139" s="19"/>
      <c r="T139" s="744"/>
    </row>
    <row r="140" spans="1:20" ht="12.75">
      <c r="A140" s="763"/>
      <c r="B140" s="737"/>
      <c r="C140" s="740"/>
      <c r="D140" s="748"/>
      <c r="E140" s="729">
        <v>2012</v>
      </c>
      <c r="F140" s="728"/>
      <c r="G140" s="15" t="s">
        <v>21</v>
      </c>
      <c r="H140" s="16"/>
      <c r="I140" s="17"/>
      <c r="J140" s="18">
        <f t="shared" si="27"/>
        <v>0</v>
      </c>
      <c r="K140" s="18"/>
      <c r="L140" s="18"/>
      <c r="M140" s="18"/>
      <c r="N140" s="18"/>
      <c r="O140" s="18"/>
      <c r="P140" s="18"/>
      <c r="Q140" s="18"/>
      <c r="R140" s="18"/>
      <c r="S140" s="19"/>
      <c r="T140" s="744"/>
    </row>
    <row r="141" spans="1:20" ht="12.75">
      <c r="A141" s="763"/>
      <c r="B141" s="737"/>
      <c r="C141" s="740"/>
      <c r="D141" s="748"/>
      <c r="E141" s="729"/>
      <c r="F141" s="21" t="s">
        <v>22</v>
      </c>
      <c r="G141" s="15" t="s">
        <v>23</v>
      </c>
      <c r="H141" s="16"/>
      <c r="I141" s="17"/>
      <c r="J141" s="18">
        <f t="shared" si="27"/>
        <v>0</v>
      </c>
      <c r="K141" s="18"/>
      <c r="L141" s="18"/>
      <c r="M141" s="18"/>
      <c r="N141" s="18"/>
      <c r="O141" s="18"/>
      <c r="P141" s="18"/>
      <c r="Q141" s="18"/>
      <c r="R141" s="18"/>
      <c r="S141" s="19"/>
      <c r="T141" s="744"/>
    </row>
    <row r="142" spans="1:20" ht="12.75">
      <c r="A142" s="763"/>
      <c r="B142" s="737"/>
      <c r="C142" s="740"/>
      <c r="D142" s="748"/>
      <c r="E142" s="729"/>
      <c r="F142" s="746">
        <f>F136+F139</f>
        <v>660000</v>
      </c>
      <c r="G142" s="15" t="s">
        <v>24</v>
      </c>
      <c r="H142" s="16"/>
      <c r="I142" s="17"/>
      <c r="J142" s="18">
        <f t="shared" si="27"/>
        <v>0</v>
      </c>
      <c r="K142" s="18"/>
      <c r="L142" s="18"/>
      <c r="M142" s="18"/>
      <c r="N142" s="18"/>
      <c r="O142" s="18"/>
      <c r="P142" s="18"/>
      <c r="Q142" s="18"/>
      <c r="R142" s="18"/>
      <c r="S142" s="19"/>
      <c r="T142" s="744"/>
    </row>
    <row r="143" spans="1:20" ht="12.75">
      <c r="A143" s="763"/>
      <c r="B143" s="737"/>
      <c r="C143" s="740"/>
      <c r="D143" s="748"/>
      <c r="E143" s="729"/>
      <c r="F143" s="731"/>
      <c r="G143" s="15" t="s">
        <v>25</v>
      </c>
      <c r="H143" s="22">
        <f>H135+H137+H139+H141</f>
        <v>0</v>
      </c>
      <c r="I143" s="23">
        <f>I135+I137+I139+I141</f>
        <v>200000</v>
      </c>
      <c r="J143" s="24">
        <f t="shared" si="27"/>
        <v>200000</v>
      </c>
      <c r="K143" s="24">
        <f aca="true" t="shared" si="29" ref="K143:S143">K135+K137+K139+K141</f>
        <v>200000</v>
      </c>
      <c r="L143" s="24">
        <f t="shared" si="29"/>
        <v>60000</v>
      </c>
      <c r="M143" s="24">
        <f t="shared" si="29"/>
        <v>0</v>
      </c>
      <c r="N143" s="24">
        <f t="shared" si="29"/>
        <v>0</v>
      </c>
      <c r="O143" s="24">
        <f t="shared" si="29"/>
        <v>0</v>
      </c>
      <c r="P143" s="24">
        <f t="shared" si="29"/>
        <v>0</v>
      </c>
      <c r="Q143" s="24">
        <f t="shared" si="29"/>
        <v>0</v>
      </c>
      <c r="R143" s="24">
        <f t="shared" si="29"/>
        <v>0</v>
      </c>
      <c r="S143" s="25">
        <f t="shared" si="29"/>
        <v>0</v>
      </c>
      <c r="T143" s="744"/>
    </row>
    <row r="144" spans="1:20" ht="13.5" thickBot="1">
      <c r="A144" s="725"/>
      <c r="B144" s="738"/>
      <c r="C144" s="741"/>
      <c r="D144" s="742"/>
      <c r="E144" s="730"/>
      <c r="F144" s="732"/>
      <c r="G144" s="36" t="s">
        <v>26</v>
      </c>
      <c r="H144" s="37">
        <f>H136+H138+H140+H142</f>
        <v>0</v>
      </c>
      <c r="I144" s="28">
        <f>I136+I138+I140+I142</f>
        <v>0</v>
      </c>
      <c r="J144" s="29">
        <f t="shared" si="27"/>
        <v>0</v>
      </c>
      <c r="K144" s="29">
        <f aca="true" t="shared" si="30" ref="K144:S144">K136+K138+K140+K142</f>
        <v>0</v>
      </c>
      <c r="L144" s="29">
        <f t="shared" si="30"/>
        <v>0</v>
      </c>
      <c r="M144" s="29">
        <f t="shared" si="30"/>
        <v>0</v>
      </c>
      <c r="N144" s="29">
        <f t="shared" si="30"/>
        <v>0</v>
      </c>
      <c r="O144" s="29">
        <f t="shared" si="30"/>
        <v>0</v>
      </c>
      <c r="P144" s="29">
        <f t="shared" si="30"/>
        <v>0</v>
      </c>
      <c r="Q144" s="29">
        <f t="shared" si="30"/>
        <v>0</v>
      </c>
      <c r="R144" s="29">
        <f t="shared" si="30"/>
        <v>0</v>
      </c>
      <c r="S144" s="38">
        <f t="shared" si="30"/>
        <v>0</v>
      </c>
      <c r="T144" s="745"/>
    </row>
    <row r="145" spans="1:20" ht="12.75" customHeight="1">
      <c r="A145" s="724">
        <v>15</v>
      </c>
      <c r="B145" s="752" t="s">
        <v>43</v>
      </c>
      <c r="C145" s="739">
        <v>60004</v>
      </c>
      <c r="D145" s="747" t="s">
        <v>44</v>
      </c>
      <c r="E145" s="733">
        <v>2010</v>
      </c>
      <c r="F145" s="8" t="s">
        <v>14</v>
      </c>
      <c r="G145" s="32" t="s">
        <v>15</v>
      </c>
      <c r="H145" s="33">
        <f>152307+88110-152307-88110</f>
        <v>0</v>
      </c>
      <c r="I145" s="11">
        <f>152307+88110</f>
        <v>240417</v>
      </c>
      <c r="J145" s="34">
        <f t="shared" si="27"/>
        <v>240417</v>
      </c>
      <c r="K145" s="34">
        <f>42693+14300</f>
        <v>56993</v>
      </c>
      <c r="L145" s="34"/>
      <c r="M145" s="34"/>
      <c r="N145" s="34"/>
      <c r="O145" s="34"/>
      <c r="P145" s="34"/>
      <c r="Q145" s="34"/>
      <c r="R145" s="34"/>
      <c r="S145" s="35"/>
      <c r="T145" s="743">
        <f>L153+M153+N153+O153+P153+Q153+R153+L154+M154+N154+O154+P154+Q154+S153+S154+R154</f>
        <v>0</v>
      </c>
    </row>
    <row r="146" spans="1:20" ht="12.75">
      <c r="A146" s="763"/>
      <c r="B146" s="737"/>
      <c r="C146" s="740"/>
      <c r="D146" s="748"/>
      <c r="E146" s="729"/>
      <c r="F146" s="746">
        <f>SUM(H153:S153)</f>
        <v>1348210</v>
      </c>
      <c r="G146" s="15" t="s">
        <v>16</v>
      </c>
      <c r="H146" s="16"/>
      <c r="I146" s="17"/>
      <c r="J146" s="18">
        <f t="shared" si="27"/>
        <v>0</v>
      </c>
      <c r="K146" s="18"/>
      <c r="L146" s="18"/>
      <c r="M146" s="18"/>
      <c r="N146" s="18"/>
      <c r="O146" s="18"/>
      <c r="P146" s="18"/>
      <c r="Q146" s="18"/>
      <c r="R146" s="18"/>
      <c r="S146" s="19"/>
      <c r="T146" s="744"/>
    </row>
    <row r="147" spans="1:20" ht="12.75">
      <c r="A147" s="763"/>
      <c r="B147" s="737"/>
      <c r="C147" s="740"/>
      <c r="D147" s="748"/>
      <c r="E147" s="729"/>
      <c r="F147" s="728"/>
      <c r="G147" s="15" t="s">
        <v>17</v>
      </c>
      <c r="H147" s="16"/>
      <c r="I147" s="17"/>
      <c r="J147" s="18">
        <f t="shared" si="27"/>
        <v>0</v>
      </c>
      <c r="K147" s="18"/>
      <c r="L147" s="18"/>
      <c r="M147" s="18"/>
      <c r="N147" s="18"/>
      <c r="O147" s="18"/>
      <c r="P147" s="18"/>
      <c r="Q147" s="18"/>
      <c r="R147" s="18"/>
      <c r="S147" s="19"/>
      <c r="T147" s="744"/>
    </row>
    <row r="148" spans="1:20" ht="12.75">
      <c r="A148" s="763"/>
      <c r="B148" s="737"/>
      <c r="C148" s="740"/>
      <c r="D148" s="748"/>
      <c r="E148" s="729"/>
      <c r="F148" s="21" t="s">
        <v>18</v>
      </c>
      <c r="G148" s="15" t="s">
        <v>19</v>
      </c>
      <c r="H148" s="16"/>
      <c r="I148" s="17"/>
      <c r="J148" s="18">
        <f t="shared" si="27"/>
        <v>0</v>
      </c>
      <c r="K148" s="18"/>
      <c r="L148" s="18"/>
      <c r="M148" s="18"/>
      <c r="N148" s="18"/>
      <c r="O148" s="18"/>
      <c r="P148" s="18"/>
      <c r="Q148" s="18"/>
      <c r="R148" s="18"/>
      <c r="S148" s="19"/>
      <c r="T148" s="744"/>
    </row>
    <row r="149" spans="1:20" ht="12.75">
      <c r="A149" s="763"/>
      <c r="B149" s="737"/>
      <c r="C149" s="740"/>
      <c r="D149" s="748"/>
      <c r="E149" s="729"/>
      <c r="F149" s="746">
        <f>SUM(H154:S154)</f>
        <v>0</v>
      </c>
      <c r="G149" s="15" t="s">
        <v>20</v>
      </c>
      <c r="H149" s="16">
        <f>355383-355383</f>
        <v>0</v>
      </c>
      <c r="I149" s="17">
        <v>355383</v>
      </c>
      <c r="J149" s="18">
        <f t="shared" si="27"/>
        <v>355383</v>
      </c>
      <c r="K149" s="18">
        <v>99617</v>
      </c>
      <c r="L149" s="18"/>
      <c r="M149" s="18"/>
      <c r="N149" s="18"/>
      <c r="O149" s="18"/>
      <c r="P149" s="18"/>
      <c r="Q149" s="18"/>
      <c r="R149" s="18"/>
      <c r="S149" s="19"/>
      <c r="T149" s="744"/>
    </row>
    <row r="150" spans="1:20" ht="12.75">
      <c r="A150" s="763"/>
      <c r="B150" s="737"/>
      <c r="C150" s="740"/>
      <c r="D150" s="748"/>
      <c r="E150" s="729">
        <v>2011</v>
      </c>
      <c r="F150" s="728"/>
      <c r="G150" s="15" t="s">
        <v>21</v>
      </c>
      <c r="H150" s="16"/>
      <c r="I150" s="17"/>
      <c r="J150" s="18">
        <f t="shared" si="27"/>
        <v>0</v>
      </c>
      <c r="K150" s="18"/>
      <c r="L150" s="18"/>
      <c r="M150" s="18"/>
      <c r="N150" s="18"/>
      <c r="O150" s="18"/>
      <c r="P150" s="18"/>
      <c r="Q150" s="18"/>
      <c r="R150" s="18"/>
      <c r="S150" s="19"/>
      <c r="T150" s="744"/>
    </row>
    <row r="151" spans="1:20" ht="12.75">
      <c r="A151" s="763"/>
      <c r="B151" s="737"/>
      <c r="C151" s="740"/>
      <c r="D151" s="748"/>
      <c r="E151" s="729"/>
      <c r="F151" s="21" t="s">
        <v>22</v>
      </c>
      <c r="G151" s="15" t="s">
        <v>23</v>
      </c>
      <c r="H151" s="16"/>
      <c r="I151" s="17"/>
      <c r="J151" s="18">
        <f t="shared" si="27"/>
        <v>0</v>
      </c>
      <c r="K151" s="18"/>
      <c r="L151" s="18"/>
      <c r="M151" s="18"/>
      <c r="N151" s="18"/>
      <c r="O151" s="18"/>
      <c r="P151" s="18"/>
      <c r="Q151" s="18"/>
      <c r="R151" s="18"/>
      <c r="S151" s="19"/>
      <c r="T151" s="744"/>
    </row>
    <row r="152" spans="1:20" ht="12.75">
      <c r="A152" s="763"/>
      <c r="B152" s="737"/>
      <c r="C152" s="740"/>
      <c r="D152" s="748"/>
      <c r="E152" s="729"/>
      <c r="F152" s="746">
        <f>F146+F149</f>
        <v>1348210</v>
      </c>
      <c r="G152" s="15" t="s">
        <v>24</v>
      </c>
      <c r="H152" s="16"/>
      <c r="I152" s="17"/>
      <c r="J152" s="18">
        <f t="shared" si="27"/>
        <v>0</v>
      </c>
      <c r="K152" s="18"/>
      <c r="L152" s="18"/>
      <c r="M152" s="18"/>
      <c r="N152" s="18"/>
      <c r="O152" s="18"/>
      <c r="P152" s="18"/>
      <c r="Q152" s="18"/>
      <c r="R152" s="18"/>
      <c r="S152" s="19"/>
      <c r="T152" s="744"/>
    </row>
    <row r="153" spans="1:20" ht="12.75">
      <c r="A153" s="763"/>
      <c r="B153" s="737"/>
      <c r="C153" s="740"/>
      <c r="D153" s="748"/>
      <c r="E153" s="729"/>
      <c r="F153" s="731"/>
      <c r="G153" s="15" t="s">
        <v>25</v>
      </c>
      <c r="H153" s="22">
        <f>H145+H147+H149+H151</f>
        <v>0</v>
      </c>
      <c r="I153" s="23">
        <f>I145+I147+I149+I151</f>
        <v>595800</v>
      </c>
      <c r="J153" s="24">
        <f t="shared" si="27"/>
        <v>595800</v>
      </c>
      <c r="K153" s="24">
        <f aca="true" t="shared" si="31" ref="K153:S153">K145+K147+K149+K151</f>
        <v>156610</v>
      </c>
      <c r="L153" s="24">
        <f t="shared" si="31"/>
        <v>0</v>
      </c>
      <c r="M153" s="24">
        <f t="shared" si="31"/>
        <v>0</v>
      </c>
      <c r="N153" s="24">
        <f t="shared" si="31"/>
        <v>0</v>
      </c>
      <c r="O153" s="24">
        <f t="shared" si="31"/>
        <v>0</v>
      </c>
      <c r="P153" s="24">
        <f t="shared" si="31"/>
        <v>0</v>
      </c>
      <c r="Q153" s="24">
        <f t="shared" si="31"/>
        <v>0</v>
      </c>
      <c r="R153" s="24">
        <f t="shared" si="31"/>
        <v>0</v>
      </c>
      <c r="S153" s="25">
        <f t="shared" si="31"/>
        <v>0</v>
      </c>
      <c r="T153" s="744"/>
    </row>
    <row r="154" spans="1:20" ht="13.5" thickBot="1">
      <c r="A154" s="725"/>
      <c r="B154" s="738"/>
      <c r="C154" s="741"/>
      <c r="D154" s="742"/>
      <c r="E154" s="730"/>
      <c r="F154" s="732"/>
      <c r="G154" s="36" t="s">
        <v>26</v>
      </c>
      <c r="H154" s="37">
        <f>H146+H148+H150+H152</f>
        <v>0</v>
      </c>
      <c r="I154" s="28">
        <f>I146+I148+I150+I152</f>
        <v>0</v>
      </c>
      <c r="J154" s="29">
        <f t="shared" si="27"/>
        <v>0</v>
      </c>
      <c r="K154" s="29">
        <f aca="true" t="shared" si="32" ref="K154:S154">K146+K148+K150+K152</f>
        <v>0</v>
      </c>
      <c r="L154" s="29">
        <f t="shared" si="32"/>
        <v>0</v>
      </c>
      <c r="M154" s="29">
        <f t="shared" si="32"/>
        <v>0</v>
      </c>
      <c r="N154" s="29">
        <f t="shared" si="32"/>
        <v>0</v>
      </c>
      <c r="O154" s="29">
        <f t="shared" si="32"/>
        <v>0</v>
      </c>
      <c r="P154" s="29">
        <f t="shared" si="32"/>
        <v>0</v>
      </c>
      <c r="Q154" s="29">
        <f t="shared" si="32"/>
        <v>0</v>
      </c>
      <c r="R154" s="29">
        <f t="shared" si="32"/>
        <v>0</v>
      </c>
      <c r="S154" s="38">
        <f t="shared" si="32"/>
        <v>0</v>
      </c>
      <c r="T154" s="745"/>
    </row>
    <row r="155" spans="1:20" ht="12.75" customHeight="1">
      <c r="A155" s="724">
        <v>16</v>
      </c>
      <c r="B155" s="752" t="s">
        <v>45</v>
      </c>
      <c r="C155" s="739">
        <v>15013</v>
      </c>
      <c r="D155" s="747" t="s">
        <v>46</v>
      </c>
      <c r="E155" s="733">
        <v>2010</v>
      </c>
      <c r="F155" s="8" t="s">
        <v>14</v>
      </c>
      <c r="G155" s="32" t="s">
        <v>15</v>
      </c>
      <c r="H155" s="33">
        <f>298805-298805</f>
        <v>0</v>
      </c>
      <c r="I155" s="11"/>
      <c r="J155" s="12">
        <f t="shared" si="27"/>
        <v>0</v>
      </c>
      <c r="K155" s="12"/>
      <c r="L155" s="34"/>
      <c r="M155" s="34"/>
      <c r="N155" s="34"/>
      <c r="O155" s="34"/>
      <c r="P155" s="34"/>
      <c r="Q155" s="34"/>
      <c r="R155" s="34"/>
      <c r="S155" s="35"/>
      <c r="T155" s="743">
        <f>L163+M163+N163+O163+P163+Q163+R163+L164+M164+N164+O164+P164+Q164+S163+S164+R164</f>
        <v>0</v>
      </c>
    </row>
    <row r="156" spans="1:20" ht="12.75">
      <c r="A156" s="763"/>
      <c r="B156" s="737"/>
      <c r="C156" s="740"/>
      <c r="D156" s="748"/>
      <c r="E156" s="729"/>
      <c r="F156" s="746">
        <f>SUM(H163:S163)</f>
        <v>4360016</v>
      </c>
      <c r="G156" s="15" t="s">
        <v>16</v>
      </c>
      <c r="H156" s="16"/>
      <c r="I156" s="17"/>
      <c r="J156" s="18">
        <f t="shared" si="27"/>
        <v>0</v>
      </c>
      <c r="K156" s="18"/>
      <c r="L156" s="18"/>
      <c r="M156" s="18"/>
      <c r="N156" s="18"/>
      <c r="O156" s="18"/>
      <c r="P156" s="18"/>
      <c r="Q156" s="18"/>
      <c r="R156" s="18"/>
      <c r="S156" s="19"/>
      <c r="T156" s="744"/>
    </row>
    <row r="157" spans="1:20" ht="12.75">
      <c r="A157" s="763"/>
      <c r="B157" s="737"/>
      <c r="C157" s="740"/>
      <c r="D157" s="748"/>
      <c r="E157" s="729"/>
      <c r="F157" s="728"/>
      <c r="G157" s="15" t="s">
        <v>17</v>
      </c>
      <c r="H157" s="16"/>
      <c r="I157" s="17">
        <v>298805</v>
      </c>
      <c r="J157" s="18">
        <f t="shared" si="27"/>
        <v>298805</v>
      </c>
      <c r="K157" s="18">
        <v>56393</v>
      </c>
      <c r="L157" s="18"/>
      <c r="M157" s="18"/>
      <c r="N157" s="18"/>
      <c r="O157" s="18"/>
      <c r="P157" s="18"/>
      <c r="Q157" s="18"/>
      <c r="R157" s="18"/>
      <c r="S157" s="19"/>
      <c r="T157" s="744"/>
    </row>
    <row r="158" spans="1:20" ht="12.75">
      <c r="A158" s="763"/>
      <c r="B158" s="737"/>
      <c r="C158" s="740"/>
      <c r="D158" s="748"/>
      <c r="E158" s="729"/>
      <c r="F158" s="21" t="s">
        <v>18</v>
      </c>
      <c r="G158" s="15" t="s">
        <v>19</v>
      </c>
      <c r="H158" s="16"/>
      <c r="I158" s="17"/>
      <c r="J158" s="18">
        <f t="shared" si="27"/>
        <v>0</v>
      </c>
      <c r="K158" s="18"/>
      <c r="L158" s="18"/>
      <c r="M158" s="18"/>
      <c r="N158" s="18"/>
      <c r="O158" s="18"/>
      <c r="P158" s="18"/>
      <c r="Q158" s="18"/>
      <c r="R158" s="18"/>
      <c r="S158" s="19"/>
      <c r="T158" s="744"/>
    </row>
    <row r="159" spans="1:20" ht="12.75">
      <c r="A159" s="763"/>
      <c r="B159" s="737"/>
      <c r="C159" s="740"/>
      <c r="D159" s="748"/>
      <c r="E159" s="729"/>
      <c r="F159" s="746">
        <f>SUM(H164:S164)</f>
        <v>0</v>
      </c>
      <c r="G159" s="15" t="s">
        <v>20</v>
      </c>
      <c r="H159" s="16">
        <f>1693226-1693226</f>
        <v>0</v>
      </c>
      <c r="I159" s="17">
        <v>1693226</v>
      </c>
      <c r="J159" s="18">
        <f t="shared" si="27"/>
        <v>1693226</v>
      </c>
      <c r="K159" s="18">
        <v>319561</v>
      </c>
      <c r="L159" s="18"/>
      <c r="M159" s="18"/>
      <c r="N159" s="18"/>
      <c r="O159" s="18"/>
      <c r="P159" s="18"/>
      <c r="Q159" s="18"/>
      <c r="R159" s="18"/>
      <c r="S159" s="19"/>
      <c r="T159" s="744"/>
    </row>
    <row r="160" spans="1:20" ht="12.75">
      <c r="A160" s="763"/>
      <c r="B160" s="737"/>
      <c r="C160" s="740"/>
      <c r="D160" s="748"/>
      <c r="E160" s="729">
        <v>2011</v>
      </c>
      <c r="F160" s="728"/>
      <c r="G160" s="15" t="s">
        <v>21</v>
      </c>
      <c r="H160" s="16"/>
      <c r="I160" s="17"/>
      <c r="J160" s="18">
        <f t="shared" si="27"/>
        <v>0</v>
      </c>
      <c r="K160" s="18"/>
      <c r="L160" s="18"/>
      <c r="M160" s="18"/>
      <c r="N160" s="18"/>
      <c r="O160" s="18"/>
      <c r="P160" s="18"/>
      <c r="Q160" s="18"/>
      <c r="R160" s="18"/>
      <c r="S160" s="19"/>
      <c r="T160" s="744"/>
    </row>
    <row r="161" spans="1:20" ht="12.75">
      <c r="A161" s="763"/>
      <c r="B161" s="737"/>
      <c r="C161" s="740"/>
      <c r="D161" s="748"/>
      <c r="E161" s="729"/>
      <c r="F161" s="21" t="s">
        <v>22</v>
      </c>
      <c r="G161" s="15" t="s">
        <v>23</v>
      </c>
      <c r="H161" s="16"/>
      <c r="I161" s="17"/>
      <c r="J161" s="18">
        <f t="shared" si="27"/>
        <v>0</v>
      </c>
      <c r="K161" s="18"/>
      <c r="L161" s="18"/>
      <c r="M161" s="18"/>
      <c r="N161" s="18"/>
      <c r="O161" s="18"/>
      <c r="P161" s="18"/>
      <c r="Q161" s="18"/>
      <c r="R161" s="18"/>
      <c r="S161" s="19"/>
      <c r="T161" s="744"/>
    </row>
    <row r="162" spans="1:20" ht="12.75">
      <c r="A162" s="763"/>
      <c r="B162" s="737"/>
      <c r="C162" s="740"/>
      <c r="D162" s="748"/>
      <c r="E162" s="729"/>
      <c r="F162" s="746">
        <f>F156+F159</f>
        <v>4360016</v>
      </c>
      <c r="G162" s="15" t="s">
        <v>24</v>
      </c>
      <c r="H162" s="16"/>
      <c r="I162" s="17"/>
      <c r="J162" s="18">
        <f t="shared" si="27"/>
        <v>0</v>
      </c>
      <c r="K162" s="18"/>
      <c r="L162" s="18"/>
      <c r="M162" s="18"/>
      <c r="N162" s="18"/>
      <c r="O162" s="18"/>
      <c r="P162" s="18"/>
      <c r="Q162" s="18"/>
      <c r="R162" s="18"/>
      <c r="S162" s="19"/>
      <c r="T162" s="744"/>
    </row>
    <row r="163" spans="1:20" ht="12.75">
      <c r="A163" s="763"/>
      <c r="B163" s="737"/>
      <c r="C163" s="740"/>
      <c r="D163" s="748"/>
      <c r="E163" s="729"/>
      <c r="F163" s="731"/>
      <c r="G163" s="15" t="s">
        <v>25</v>
      </c>
      <c r="H163" s="22">
        <f>H155+H157+H159+H161</f>
        <v>0</v>
      </c>
      <c r="I163" s="23">
        <f>I155+I157+I159+I161</f>
        <v>1992031</v>
      </c>
      <c r="J163" s="24">
        <f t="shared" si="27"/>
        <v>1992031</v>
      </c>
      <c r="K163" s="24">
        <f aca="true" t="shared" si="33" ref="K163:S163">K155+K157+K159+K161</f>
        <v>375954</v>
      </c>
      <c r="L163" s="24">
        <f t="shared" si="33"/>
        <v>0</v>
      </c>
      <c r="M163" s="24">
        <f t="shared" si="33"/>
        <v>0</v>
      </c>
      <c r="N163" s="24">
        <f t="shared" si="33"/>
        <v>0</v>
      </c>
      <c r="O163" s="24">
        <f t="shared" si="33"/>
        <v>0</v>
      </c>
      <c r="P163" s="24">
        <f t="shared" si="33"/>
        <v>0</v>
      </c>
      <c r="Q163" s="24">
        <f t="shared" si="33"/>
        <v>0</v>
      </c>
      <c r="R163" s="24">
        <f t="shared" si="33"/>
        <v>0</v>
      </c>
      <c r="S163" s="25">
        <f t="shared" si="33"/>
        <v>0</v>
      </c>
      <c r="T163" s="744"/>
    </row>
    <row r="164" spans="1:20" ht="13.5" thickBot="1">
      <c r="A164" s="763"/>
      <c r="B164" s="738"/>
      <c r="C164" s="741"/>
      <c r="D164" s="742"/>
      <c r="E164" s="730"/>
      <c r="F164" s="732"/>
      <c r="G164" s="36" t="s">
        <v>26</v>
      </c>
      <c r="H164" s="37">
        <f>H156+H158+H160+H162</f>
        <v>0</v>
      </c>
      <c r="I164" s="28">
        <f>I156+I158+I160+I162</f>
        <v>0</v>
      </c>
      <c r="J164" s="29">
        <f t="shared" si="27"/>
        <v>0</v>
      </c>
      <c r="K164" s="29">
        <f aca="true" t="shared" si="34" ref="K164:S164">K156+K158+K160+K162</f>
        <v>0</v>
      </c>
      <c r="L164" s="29">
        <f t="shared" si="34"/>
        <v>0</v>
      </c>
      <c r="M164" s="29">
        <f t="shared" si="34"/>
        <v>0</v>
      </c>
      <c r="N164" s="29">
        <f t="shared" si="34"/>
        <v>0</v>
      </c>
      <c r="O164" s="29">
        <f t="shared" si="34"/>
        <v>0</v>
      </c>
      <c r="P164" s="29">
        <f t="shared" si="34"/>
        <v>0</v>
      </c>
      <c r="Q164" s="29">
        <f t="shared" si="34"/>
        <v>0</v>
      </c>
      <c r="R164" s="29">
        <f t="shared" si="34"/>
        <v>0</v>
      </c>
      <c r="S164" s="38">
        <f t="shared" si="34"/>
        <v>0</v>
      </c>
      <c r="T164" s="745"/>
    </row>
    <row r="165" spans="1:20" ht="12.75" customHeight="1">
      <c r="A165" s="724">
        <v>17</v>
      </c>
      <c r="B165" s="752" t="s">
        <v>47</v>
      </c>
      <c r="C165" s="739">
        <v>60095</v>
      </c>
      <c r="D165" s="726" t="s">
        <v>48</v>
      </c>
      <c r="E165" s="727">
        <v>2010</v>
      </c>
      <c r="F165" s="20" t="s">
        <v>14</v>
      </c>
      <c r="G165" s="9" t="s">
        <v>15</v>
      </c>
      <c r="H165" s="10">
        <f>32312-32312</f>
        <v>0</v>
      </c>
      <c r="I165" s="39">
        <v>32312</v>
      </c>
      <c r="J165" s="12">
        <f t="shared" si="27"/>
        <v>32312</v>
      </c>
      <c r="K165" s="12">
        <v>41686</v>
      </c>
      <c r="L165" s="12">
        <v>86816</v>
      </c>
      <c r="M165" s="12">
        <v>22066</v>
      </c>
      <c r="N165" s="12"/>
      <c r="O165" s="12"/>
      <c r="P165" s="12"/>
      <c r="Q165" s="12"/>
      <c r="R165" s="12"/>
      <c r="S165" s="13"/>
      <c r="T165" s="743">
        <f>L173+M173+N173+O173+P173+Q173+R173+L174+M174+N174+O174+P174+Q174+S173+S174+R174</f>
        <v>384335</v>
      </c>
    </row>
    <row r="166" spans="1:20" ht="12.75">
      <c r="A166" s="763"/>
      <c r="B166" s="737"/>
      <c r="C166" s="740"/>
      <c r="D166" s="748"/>
      <c r="E166" s="729"/>
      <c r="F166" s="746">
        <f>SUM(H173:S173)</f>
        <v>759592</v>
      </c>
      <c r="G166" s="15" t="s">
        <v>16</v>
      </c>
      <c r="H166" s="16"/>
      <c r="I166" s="17"/>
      <c r="J166" s="18">
        <f t="shared" si="27"/>
        <v>0</v>
      </c>
      <c r="K166" s="18"/>
      <c r="L166" s="18"/>
      <c r="M166" s="18"/>
      <c r="N166" s="18"/>
      <c r="O166" s="18"/>
      <c r="P166" s="18"/>
      <c r="Q166" s="18"/>
      <c r="R166" s="18"/>
      <c r="S166" s="19"/>
      <c r="T166" s="744"/>
    </row>
    <row r="167" spans="1:20" ht="12.75">
      <c r="A167" s="763"/>
      <c r="B167" s="737"/>
      <c r="C167" s="740"/>
      <c r="D167" s="748"/>
      <c r="E167" s="729"/>
      <c r="F167" s="728"/>
      <c r="G167" s="15" t="s">
        <v>17</v>
      </c>
      <c r="H167" s="16"/>
      <c r="I167" s="17"/>
      <c r="J167" s="18">
        <f t="shared" si="27"/>
        <v>0</v>
      </c>
      <c r="K167" s="18"/>
      <c r="L167" s="18"/>
      <c r="M167" s="18"/>
      <c r="N167" s="18"/>
      <c r="O167" s="18"/>
      <c r="P167" s="18"/>
      <c r="Q167" s="18"/>
      <c r="R167" s="18"/>
      <c r="S167" s="19"/>
      <c r="T167" s="744"/>
    </row>
    <row r="168" spans="1:20" ht="12.75">
      <c r="A168" s="763"/>
      <c r="B168" s="737"/>
      <c r="C168" s="740"/>
      <c r="D168" s="748"/>
      <c r="E168" s="729"/>
      <c r="F168" s="21" t="s">
        <v>18</v>
      </c>
      <c r="G168" s="15" t="s">
        <v>19</v>
      </c>
      <c r="H168" s="16"/>
      <c r="I168" s="17"/>
      <c r="J168" s="18">
        <f t="shared" si="27"/>
        <v>0</v>
      </c>
      <c r="K168" s="18"/>
      <c r="L168" s="18"/>
      <c r="M168" s="18"/>
      <c r="N168" s="18"/>
      <c r="O168" s="18"/>
      <c r="P168" s="18"/>
      <c r="Q168" s="18"/>
      <c r="R168" s="18"/>
      <c r="S168" s="19"/>
      <c r="T168" s="744"/>
    </row>
    <row r="169" spans="1:20" ht="12.75">
      <c r="A169" s="763"/>
      <c r="B169" s="737"/>
      <c r="C169" s="740"/>
      <c r="D169" s="748"/>
      <c r="E169" s="729"/>
      <c r="F169" s="746">
        <f>SUM(H174:S174)</f>
        <v>0</v>
      </c>
      <c r="G169" s="15" t="s">
        <v>20</v>
      </c>
      <c r="H169" s="16">
        <f>81744-81744</f>
        <v>0</v>
      </c>
      <c r="I169" s="17">
        <v>81744</v>
      </c>
      <c r="J169" s="18">
        <f t="shared" si="27"/>
        <v>81744</v>
      </c>
      <c r="K169" s="18">
        <v>105459</v>
      </c>
      <c r="L169" s="18">
        <v>219629</v>
      </c>
      <c r="M169" s="18">
        <v>55824</v>
      </c>
      <c r="N169" s="18"/>
      <c r="O169" s="18"/>
      <c r="P169" s="18"/>
      <c r="Q169" s="18"/>
      <c r="R169" s="18"/>
      <c r="S169" s="19"/>
      <c r="T169" s="744"/>
    </row>
    <row r="170" spans="1:20" ht="12.75">
      <c r="A170" s="763"/>
      <c r="B170" s="737"/>
      <c r="C170" s="740"/>
      <c r="D170" s="748"/>
      <c r="E170" s="729">
        <v>2013</v>
      </c>
      <c r="F170" s="728"/>
      <c r="G170" s="15" t="s">
        <v>21</v>
      </c>
      <c r="H170" s="16"/>
      <c r="I170" s="17"/>
      <c r="J170" s="18">
        <f t="shared" si="27"/>
        <v>0</v>
      </c>
      <c r="K170" s="18"/>
      <c r="L170" s="18"/>
      <c r="M170" s="18"/>
      <c r="N170" s="18"/>
      <c r="O170" s="18"/>
      <c r="P170" s="18"/>
      <c r="Q170" s="18"/>
      <c r="R170" s="18"/>
      <c r="S170" s="19"/>
      <c r="T170" s="744"/>
    </row>
    <row r="171" spans="1:20" ht="12.75">
      <c r="A171" s="763"/>
      <c r="B171" s="737"/>
      <c r="C171" s="740"/>
      <c r="D171" s="748"/>
      <c r="E171" s="729"/>
      <c r="F171" s="21" t="s">
        <v>22</v>
      </c>
      <c r="G171" s="15" t="s">
        <v>23</v>
      </c>
      <c r="H171" s="16"/>
      <c r="I171" s="17"/>
      <c r="J171" s="18">
        <f t="shared" si="27"/>
        <v>0</v>
      </c>
      <c r="K171" s="18"/>
      <c r="L171" s="18"/>
      <c r="M171" s="18"/>
      <c r="N171" s="18"/>
      <c r="O171" s="18"/>
      <c r="P171" s="18"/>
      <c r="Q171" s="18"/>
      <c r="R171" s="18"/>
      <c r="S171" s="19"/>
      <c r="T171" s="744"/>
    </row>
    <row r="172" spans="1:20" ht="12.75">
      <c r="A172" s="763"/>
      <c r="B172" s="737"/>
      <c r="C172" s="740"/>
      <c r="D172" s="748"/>
      <c r="E172" s="729"/>
      <c r="F172" s="746">
        <f>F166+F169</f>
        <v>759592</v>
      </c>
      <c r="G172" s="15" t="s">
        <v>24</v>
      </c>
      <c r="H172" s="16"/>
      <c r="I172" s="17"/>
      <c r="J172" s="18">
        <f t="shared" si="27"/>
        <v>0</v>
      </c>
      <c r="K172" s="18"/>
      <c r="L172" s="18"/>
      <c r="M172" s="18"/>
      <c r="N172" s="18"/>
      <c r="O172" s="18"/>
      <c r="P172" s="18"/>
      <c r="Q172" s="18"/>
      <c r="R172" s="18"/>
      <c r="S172" s="19"/>
      <c r="T172" s="744"/>
    </row>
    <row r="173" spans="1:20" ht="12.75">
      <c r="A173" s="763"/>
      <c r="B173" s="737"/>
      <c r="C173" s="740"/>
      <c r="D173" s="748"/>
      <c r="E173" s="729"/>
      <c r="F173" s="731"/>
      <c r="G173" s="15" t="s">
        <v>25</v>
      </c>
      <c r="H173" s="22">
        <f>H165+H167+H169+H171</f>
        <v>0</v>
      </c>
      <c r="I173" s="23">
        <f>I165+I167+I169+I171</f>
        <v>114056</v>
      </c>
      <c r="J173" s="24">
        <f t="shared" si="27"/>
        <v>114056</v>
      </c>
      <c r="K173" s="24">
        <f aca="true" t="shared" si="35" ref="K173:S173">K165+K167+K169+K171</f>
        <v>147145</v>
      </c>
      <c r="L173" s="24">
        <f t="shared" si="35"/>
        <v>306445</v>
      </c>
      <c r="M173" s="24">
        <f t="shared" si="35"/>
        <v>77890</v>
      </c>
      <c r="N173" s="24">
        <f t="shared" si="35"/>
        <v>0</v>
      </c>
      <c r="O173" s="24">
        <f t="shared" si="35"/>
        <v>0</v>
      </c>
      <c r="P173" s="24">
        <f t="shared" si="35"/>
        <v>0</v>
      </c>
      <c r="Q173" s="24">
        <f t="shared" si="35"/>
        <v>0</v>
      </c>
      <c r="R173" s="24">
        <f t="shared" si="35"/>
        <v>0</v>
      </c>
      <c r="S173" s="25">
        <f t="shared" si="35"/>
        <v>0</v>
      </c>
      <c r="T173" s="744"/>
    </row>
    <row r="174" spans="1:20" ht="13.5" thickBot="1">
      <c r="A174" s="763"/>
      <c r="B174" s="738"/>
      <c r="C174" s="741"/>
      <c r="D174" s="749"/>
      <c r="E174" s="723"/>
      <c r="F174" s="732"/>
      <c r="G174" s="26" t="s">
        <v>26</v>
      </c>
      <c r="H174" s="27">
        <f>H166+H168+H170+H172</f>
        <v>0</v>
      </c>
      <c r="I174" s="28">
        <f>I166+I168+I170+I172</f>
        <v>0</v>
      </c>
      <c r="J174" s="29">
        <f t="shared" si="27"/>
        <v>0</v>
      </c>
      <c r="K174" s="29">
        <f aca="true" t="shared" si="36" ref="K174:S174">K166+K168+K170+K172</f>
        <v>0</v>
      </c>
      <c r="L174" s="30">
        <f t="shared" si="36"/>
        <v>0</v>
      </c>
      <c r="M174" s="30">
        <f t="shared" si="36"/>
        <v>0</v>
      </c>
      <c r="N174" s="30">
        <f t="shared" si="36"/>
        <v>0</v>
      </c>
      <c r="O174" s="30">
        <f t="shared" si="36"/>
        <v>0</v>
      </c>
      <c r="P174" s="30">
        <f t="shared" si="36"/>
        <v>0</v>
      </c>
      <c r="Q174" s="30">
        <f t="shared" si="36"/>
        <v>0</v>
      </c>
      <c r="R174" s="30">
        <f t="shared" si="36"/>
        <v>0</v>
      </c>
      <c r="S174" s="31">
        <f t="shared" si="36"/>
        <v>0</v>
      </c>
      <c r="T174" s="745"/>
    </row>
    <row r="175" spans="1:20" ht="12.75" customHeight="1">
      <c r="A175" s="724">
        <v>18</v>
      </c>
      <c r="B175" s="752" t="s">
        <v>49</v>
      </c>
      <c r="C175" s="739">
        <v>60004</v>
      </c>
      <c r="D175" s="747" t="s">
        <v>50</v>
      </c>
      <c r="E175" s="733">
        <v>2010</v>
      </c>
      <c r="F175" s="8" t="s">
        <v>14</v>
      </c>
      <c r="G175" s="32" t="s">
        <v>15</v>
      </c>
      <c r="H175" s="33">
        <f>11732-11732</f>
        <v>0</v>
      </c>
      <c r="I175" s="11">
        <v>11732</v>
      </c>
      <c r="J175" s="34">
        <f t="shared" si="27"/>
        <v>11732</v>
      </c>
      <c r="K175" s="34">
        <v>38269</v>
      </c>
      <c r="L175" s="34">
        <v>17907</v>
      </c>
      <c r="M175" s="34">
        <v>2252</v>
      </c>
      <c r="N175" s="34"/>
      <c r="O175" s="34"/>
      <c r="P175" s="34"/>
      <c r="Q175" s="34"/>
      <c r="R175" s="34"/>
      <c r="S175" s="35"/>
      <c r="T175" s="743">
        <f>L183+M183+N183+O183+P183+Q183+R183+L184+M184+N184+O184+P184+Q184+S183+S184+R184</f>
        <v>134398</v>
      </c>
    </row>
    <row r="176" spans="1:20" ht="12.75">
      <c r="A176" s="763"/>
      <c r="B176" s="737"/>
      <c r="C176" s="740"/>
      <c r="D176" s="748"/>
      <c r="E176" s="729"/>
      <c r="F176" s="746">
        <f>SUM(H183:S183)</f>
        <v>545935</v>
      </c>
      <c r="G176" s="15" t="s">
        <v>16</v>
      </c>
      <c r="H176" s="16"/>
      <c r="I176" s="17"/>
      <c r="J176" s="18">
        <f t="shared" si="27"/>
        <v>0</v>
      </c>
      <c r="K176" s="18"/>
      <c r="L176" s="18"/>
      <c r="M176" s="18"/>
      <c r="N176" s="18"/>
      <c r="O176" s="18"/>
      <c r="P176" s="18"/>
      <c r="Q176" s="18"/>
      <c r="R176" s="18"/>
      <c r="S176" s="19"/>
      <c r="T176" s="744"/>
    </row>
    <row r="177" spans="1:20" ht="12.75">
      <c r="A177" s="763"/>
      <c r="B177" s="737"/>
      <c r="C177" s="740"/>
      <c r="D177" s="748"/>
      <c r="E177" s="729"/>
      <c r="F177" s="728"/>
      <c r="G177" s="15" t="s">
        <v>17</v>
      </c>
      <c r="H177" s="16"/>
      <c r="I177" s="17"/>
      <c r="J177" s="18">
        <f t="shared" si="27"/>
        <v>0</v>
      </c>
      <c r="K177" s="18"/>
      <c r="L177" s="18"/>
      <c r="M177" s="18"/>
      <c r="N177" s="18"/>
      <c r="O177" s="18"/>
      <c r="P177" s="18"/>
      <c r="Q177" s="18"/>
      <c r="R177" s="18"/>
      <c r="S177" s="19"/>
      <c r="T177" s="744"/>
    </row>
    <row r="178" spans="1:20" ht="12.75">
      <c r="A178" s="763"/>
      <c r="B178" s="737"/>
      <c r="C178" s="740"/>
      <c r="D178" s="748"/>
      <c r="E178" s="729"/>
      <c r="F178" s="21" t="s">
        <v>18</v>
      </c>
      <c r="G178" s="15" t="s">
        <v>19</v>
      </c>
      <c r="H178" s="16"/>
      <c r="I178" s="17"/>
      <c r="J178" s="18">
        <f t="shared" si="27"/>
        <v>0</v>
      </c>
      <c r="K178" s="18"/>
      <c r="L178" s="18"/>
      <c r="M178" s="18"/>
      <c r="N178" s="18"/>
      <c r="O178" s="18"/>
      <c r="P178" s="18"/>
      <c r="Q178" s="18"/>
      <c r="R178" s="18"/>
      <c r="S178" s="19"/>
      <c r="T178" s="744"/>
    </row>
    <row r="179" spans="1:20" ht="12.75">
      <c r="A179" s="763"/>
      <c r="B179" s="737"/>
      <c r="C179" s="740"/>
      <c r="D179" s="748"/>
      <c r="E179" s="729"/>
      <c r="F179" s="746">
        <f>SUM(H184:S184)</f>
        <v>0</v>
      </c>
      <c r="G179" s="15" t="s">
        <v>20</v>
      </c>
      <c r="H179" s="16">
        <f>66468-66468</f>
        <v>0</v>
      </c>
      <c r="I179" s="17">
        <v>66468</v>
      </c>
      <c r="J179" s="18">
        <f t="shared" si="27"/>
        <v>66468</v>
      </c>
      <c r="K179" s="18">
        <v>216868</v>
      </c>
      <c r="L179" s="18">
        <v>101476</v>
      </c>
      <c r="M179" s="18">
        <v>12763</v>
      </c>
      <c r="N179" s="18"/>
      <c r="O179" s="18"/>
      <c r="P179" s="18"/>
      <c r="Q179" s="18"/>
      <c r="R179" s="18"/>
      <c r="S179" s="19"/>
      <c r="T179" s="744"/>
    </row>
    <row r="180" spans="1:20" ht="12.75">
      <c r="A180" s="763"/>
      <c r="B180" s="737"/>
      <c r="C180" s="740"/>
      <c r="D180" s="748"/>
      <c r="E180" s="729">
        <v>2013</v>
      </c>
      <c r="F180" s="728"/>
      <c r="G180" s="15" t="s">
        <v>21</v>
      </c>
      <c r="H180" s="16"/>
      <c r="I180" s="17"/>
      <c r="J180" s="18">
        <f t="shared" si="27"/>
        <v>0</v>
      </c>
      <c r="K180" s="18"/>
      <c r="L180" s="18"/>
      <c r="M180" s="18"/>
      <c r="N180" s="18"/>
      <c r="O180" s="18"/>
      <c r="P180" s="18"/>
      <c r="Q180" s="18"/>
      <c r="R180" s="18"/>
      <c r="S180" s="19"/>
      <c r="T180" s="744"/>
    </row>
    <row r="181" spans="1:20" ht="12.75">
      <c r="A181" s="763"/>
      <c r="B181" s="737"/>
      <c r="C181" s="740"/>
      <c r="D181" s="748"/>
      <c r="E181" s="729"/>
      <c r="F181" s="21" t="s">
        <v>22</v>
      </c>
      <c r="G181" s="15" t="s">
        <v>23</v>
      </c>
      <c r="H181" s="16"/>
      <c r="I181" s="17"/>
      <c r="J181" s="18">
        <f t="shared" si="27"/>
        <v>0</v>
      </c>
      <c r="K181" s="18"/>
      <c r="L181" s="18"/>
      <c r="M181" s="18"/>
      <c r="N181" s="18"/>
      <c r="O181" s="18"/>
      <c r="P181" s="18"/>
      <c r="Q181" s="18"/>
      <c r="R181" s="18"/>
      <c r="S181" s="19"/>
      <c r="T181" s="744"/>
    </row>
    <row r="182" spans="1:20" ht="12.75">
      <c r="A182" s="763"/>
      <c r="B182" s="737"/>
      <c r="C182" s="740"/>
      <c r="D182" s="748"/>
      <c r="E182" s="729"/>
      <c r="F182" s="746">
        <f>F176+F179</f>
        <v>545935</v>
      </c>
      <c r="G182" s="15" t="s">
        <v>24</v>
      </c>
      <c r="H182" s="16"/>
      <c r="I182" s="17"/>
      <c r="J182" s="18">
        <f t="shared" si="27"/>
        <v>0</v>
      </c>
      <c r="K182" s="18"/>
      <c r="L182" s="18"/>
      <c r="M182" s="18"/>
      <c r="N182" s="18"/>
      <c r="O182" s="18"/>
      <c r="P182" s="18"/>
      <c r="Q182" s="18"/>
      <c r="R182" s="18"/>
      <c r="S182" s="19"/>
      <c r="T182" s="744"/>
    </row>
    <row r="183" spans="1:20" ht="12.75">
      <c r="A183" s="763"/>
      <c r="B183" s="737"/>
      <c r="C183" s="740"/>
      <c r="D183" s="748"/>
      <c r="E183" s="729"/>
      <c r="F183" s="731"/>
      <c r="G183" s="15" t="s">
        <v>25</v>
      </c>
      <c r="H183" s="22">
        <f>H175+H177+H179+H181</f>
        <v>0</v>
      </c>
      <c r="I183" s="23">
        <f>I175+I177+I179+I181</f>
        <v>78200</v>
      </c>
      <c r="J183" s="24">
        <f t="shared" si="27"/>
        <v>78200</v>
      </c>
      <c r="K183" s="24">
        <f aca="true" t="shared" si="37" ref="K183:S183">K175+K177+K179+K181</f>
        <v>255137</v>
      </c>
      <c r="L183" s="24">
        <f t="shared" si="37"/>
        <v>119383</v>
      </c>
      <c r="M183" s="24">
        <f t="shared" si="37"/>
        <v>15015</v>
      </c>
      <c r="N183" s="24">
        <f t="shared" si="37"/>
        <v>0</v>
      </c>
      <c r="O183" s="24">
        <f t="shared" si="37"/>
        <v>0</v>
      </c>
      <c r="P183" s="24">
        <f t="shared" si="37"/>
        <v>0</v>
      </c>
      <c r="Q183" s="24">
        <f t="shared" si="37"/>
        <v>0</v>
      </c>
      <c r="R183" s="24">
        <f t="shared" si="37"/>
        <v>0</v>
      </c>
      <c r="S183" s="25">
        <f t="shared" si="37"/>
        <v>0</v>
      </c>
      <c r="T183" s="744"/>
    </row>
    <row r="184" spans="1:20" ht="13.5" thickBot="1">
      <c r="A184" s="725"/>
      <c r="B184" s="738"/>
      <c r="C184" s="741"/>
      <c r="D184" s="742"/>
      <c r="E184" s="730"/>
      <c r="F184" s="732"/>
      <c r="G184" s="36" t="s">
        <v>26</v>
      </c>
      <c r="H184" s="37">
        <f>H176+H178+H180+H182</f>
        <v>0</v>
      </c>
      <c r="I184" s="28">
        <f>I176+I178+I180+I182</f>
        <v>0</v>
      </c>
      <c r="J184" s="29">
        <f t="shared" si="27"/>
        <v>0</v>
      </c>
      <c r="K184" s="29">
        <f aca="true" t="shared" si="38" ref="K184:S184">K176+K178+K180+K182</f>
        <v>0</v>
      </c>
      <c r="L184" s="29">
        <f t="shared" si="38"/>
        <v>0</v>
      </c>
      <c r="M184" s="29">
        <f t="shared" si="38"/>
        <v>0</v>
      </c>
      <c r="N184" s="29">
        <f t="shared" si="38"/>
        <v>0</v>
      </c>
      <c r="O184" s="29">
        <f t="shared" si="38"/>
        <v>0</v>
      </c>
      <c r="P184" s="29">
        <f t="shared" si="38"/>
        <v>0</v>
      </c>
      <c r="Q184" s="29">
        <f t="shared" si="38"/>
        <v>0</v>
      </c>
      <c r="R184" s="29">
        <f t="shared" si="38"/>
        <v>0</v>
      </c>
      <c r="S184" s="38">
        <f t="shared" si="38"/>
        <v>0</v>
      </c>
      <c r="T184" s="745"/>
    </row>
    <row r="185" spans="1:20" ht="12.75" customHeight="1">
      <c r="A185" s="724">
        <v>19</v>
      </c>
      <c r="B185" s="752" t="s">
        <v>51</v>
      </c>
      <c r="C185" s="739">
        <v>80110</v>
      </c>
      <c r="D185" s="726" t="s">
        <v>52</v>
      </c>
      <c r="E185" s="727">
        <v>2010</v>
      </c>
      <c r="F185" s="8" t="s">
        <v>14</v>
      </c>
      <c r="G185" s="9" t="s">
        <v>15</v>
      </c>
      <c r="H185" s="10"/>
      <c r="I185" s="11"/>
      <c r="J185" s="12">
        <f t="shared" si="27"/>
        <v>0</v>
      </c>
      <c r="K185" s="12"/>
      <c r="L185" s="12"/>
      <c r="M185" s="12"/>
      <c r="N185" s="12"/>
      <c r="O185" s="12"/>
      <c r="P185" s="12"/>
      <c r="Q185" s="12"/>
      <c r="R185" s="12"/>
      <c r="S185" s="13"/>
      <c r="T185" s="743">
        <f>L193+M193+N193+O193+P193+Q193+R193+L194+M194+N194+O194+P194+Q194+S193+S194+R194</f>
        <v>15532</v>
      </c>
    </row>
    <row r="186" spans="1:20" ht="12.75">
      <c r="A186" s="763"/>
      <c r="B186" s="737"/>
      <c r="C186" s="740"/>
      <c r="D186" s="748"/>
      <c r="E186" s="729"/>
      <c r="F186" s="746">
        <f>SUM(H193:S193)</f>
        <v>102212</v>
      </c>
      <c r="G186" s="15" t="s">
        <v>16</v>
      </c>
      <c r="H186" s="16"/>
      <c r="I186" s="17"/>
      <c r="J186" s="18">
        <f t="shared" si="27"/>
        <v>0</v>
      </c>
      <c r="K186" s="18"/>
      <c r="L186" s="18"/>
      <c r="M186" s="18"/>
      <c r="N186" s="18"/>
      <c r="O186" s="18"/>
      <c r="P186" s="18"/>
      <c r="Q186" s="18"/>
      <c r="R186" s="18"/>
      <c r="S186" s="19"/>
      <c r="T186" s="744"/>
    </row>
    <row r="187" spans="1:20" ht="12.75">
      <c r="A187" s="763"/>
      <c r="B187" s="737"/>
      <c r="C187" s="740"/>
      <c r="D187" s="748"/>
      <c r="E187" s="729"/>
      <c r="F187" s="728"/>
      <c r="G187" s="15" t="s">
        <v>17</v>
      </c>
      <c r="H187" s="16"/>
      <c r="I187" s="17"/>
      <c r="J187" s="18">
        <f t="shared" si="27"/>
        <v>0</v>
      </c>
      <c r="K187" s="18"/>
      <c r="L187" s="18"/>
      <c r="M187" s="18"/>
      <c r="N187" s="18"/>
      <c r="O187" s="18"/>
      <c r="P187" s="18"/>
      <c r="Q187" s="18"/>
      <c r="R187" s="18"/>
      <c r="S187" s="19"/>
      <c r="T187" s="744"/>
    </row>
    <row r="188" spans="1:20" ht="12.75">
      <c r="A188" s="763"/>
      <c r="B188" s="737"/>
      <c r="C188" s="740"/>
      <c r="D188" s="748"/>
      <c r="E188" s="729"/>
      <c r="F188" s="21" t="s">
        <v>18</v>
      </c>
      <c r="G188" s="15" t="s">
        <v>19</v>
      </c>
      <c r="H188" s="16"/>
      <c r="I188" s="17"/>
      <c r="J188" s="18">
        <f t="shared" si="27"/>
        <v>0</v>
      </c>
      <c r="K188" s="18"/>
      <c r="L188" s="18"/>
      <c r="M188" s="18"/>
      <c r="N188" s="18"/>
      <c r="O188" s="18"/>
      <c r="P188" s="18"/>
      <c r="Q188" s="18"/>
      <c r="R188" s="18"/>
      <c r="S188" s="19"/>
      <c r="T188" s="744"/>
    </row>
    <row r="189" spans="1:20" ht="12.75">
      <c r="A189" s="763"/>
      <c r="B189" s="737"/>
      <c r="C189" s="740"/>
      <c r="D189" s="748"/>
      <c r="E189" s="729"/>
      <c r="F189" s="746">
        <f>SUM(H194:S194)</f>
        <v>0</v>
      </c>
      <c r="G189" s="15" t="s">
        <v>20</v>
      </c>
      <c r="H189" s="16">
        <f>24550-24550</f>
        <v>0</v>
      </c>
      <c r="I189" s="17">
        <v>24550</v>
      </c>
      <c r="J189" s="18">
        <f t="shared" si="27"/>
        <v>24550</v>
      </c>
      <c r="K189" s="18">
        <v>37580</v>
      </c>
      <c r="L189" s="18">
        <v>15532</v>
      </c>
      <c r="M189" s="18"/>
      <c r="N189" s="18"/>
      <c r="O189" s="18"/>
      <c r="P189" s="18"/>
      <c r="Q189" s="18"/>
      <c r="R189" s="18"/>
      <c r="S189" s="19"/>
      <c r="T189" s="744"/>
    </row>
    <row r="190" spans="1:20" ht="12.75">
      <c r="A190" s="763"/>
      <c r="B190" s="737"/>
      <c r="C190" s="740"/>
      <c r="D190" s="748"/>
      <c r="E190" s="729">
        <v>2012</v>
      </c>
      <c r="F190" s="728"/>
      <c r="G190" s="15" t="s">
        <v>21</v>
      </c>
      <c r="H190" s="16"/>
      <c r="I190" s="17"/>
      <c r="J190" s="18">
        <f t="shared" si="27"/>
        <v>0</v>
      </c>
      <c r="K190" s="18"/>
      <c r="L190" s="18"/>
      <c r="M190" s="18"/>
      <c r="N190" s="18"/>
      <c r="O190" s="18"/>
      <c r="P190" s="18"/>
      <c r="Q190" s="18"/>
      <c r="R190" s="18"/>
      <c r="S190" s="19"/>
      <c r="T190" s="744"/>
    </row>
    <row r="191" spans="1:20" ht="12.75">
      <c r="A191" s="763"/>
      <c r="B191" s="737"/>
      <c r="C191" s="740"/>
      <c r="D191" s="748"/>
      <c r="E191" s="729"/>
      <c r="F191" s="21" t="s">
        <v>22</v>
      </c>
      <c r="G191" s="15" t="s">
        <v>23</v>
      </c>
      <c r="H191" s="16"/>
      <c r="I191" s="17"/>
      <c r="J191" s="18">
        <f t="shared" si="27"/>
        <v>0</v>
      </c>
      <c r="K191" s="18"/>
      <c r="L191" s="18"/>
      <c r="M191" s="18"/>
      <c r="N191" s="18"/>
      <c r="O191" s="18"/>
      <c r="P191" s="18"/>
      <c r="Q191" s="18"/>
      <c r="R191" s="18"/>
      <c r="S191" s="19"/>
      <c r="T191" s="744"/>
    </row>
    <row r="192" spans="1:20" ht="12.75">
      <c r="A192" s="763"/>
      <c r="B192" s="737"/>
      <c r="C192" s="740"/>
      <c r="D192" s="748"/>
      <c r="E192" s="729"/>
      <c r="F192" s="746">
        <f>F186+F189</f>
        <v>102212</v>
      </c>
      <c r="G192" s="15" t="s">
        <v>24</v>
      </c>
      <c r="H192" s="16"/>
      <c r="I192" s="17"/>
      <c r="J192" s="18">
        <f t="shared" si="27"/>
        <v>0</v>
      </c>
      <c r="K192" s="18"/>
      <c r="L192" s="18"/>
      <c r="M192" s="18"/>
      <c r="N192" s="18"/>
      <c r="O192" s="18"/>
      <c r="P192" s="18"/>
      <c r="Q192" s="18"/>
      <c r="R192" s="18"/>
      <c r="S192" s="19"/>
      <c r="T192" s="744"/>
    </row>
    <row r="193" spans="1:20" ht="12.75">
      <c r="A193" s="763"/>
      <c r="B193" s="737"/>
      <c r="C193" s="740"/>
      <c r="D193" s="748"/>
      <c r="E193" s="729"/>
      <c r="F193" s="731"/>
      <c r="G193" s="15" t="s">
        <v>25</v>
      </c>
      <c r="H193" s="22">
        <f>H185+H187+H189+H191</f>
        <v>0</v>
      </c>
      <c r="I193" s="23">
        <f>I185+I187+I189+I191</f>
        <v>24550</v>
      </c>
      <c r="J193" s="24">
        <f t="shared" si="27"/>
        <v>24550</v>
      </c>
      <c r="K193" s="24">
        <f aca="true" t="shared" si="39" ref="K193:S193">K185+K187+K189+K191</f>
        <v>37580</v>
      </c>
      <c r="L193" s="24">
        <f t="shared" si="39"/>
        <v>15532</v>
      </c>
      <c r="M193" s="24">
        <f t="shared" si="39"/>
        <v>0</v>
      </c>
      <c r="N193" s="24">
        <f t="shared" si="39"/>
        <v>0</v>
      </c>
      <c r="O193" s="24">
        <f t="shared" si="39"/>
        <v>0</v>
      </c>
      <c r="P193" s="24">
        <f t="shared" si="39"/>
        <v>0</v>
      </c>
      <c r="Q193" s="24">
        <f t="shared" si="39"/>
        <v>0</v>
      </c>
      <c r="R193" s="24">
        <f t="shared" si="39"/>
        <v>0</v>
      </c>
      <c r="S193" s="25">
        <f t="shared" si="39"/>
        <v>0</v>
      </c>
      <c r="T193" s="744"/>
    </row>
    <row r="194" spans="1:20" ht="13.5" thickBot="1">
      <c r="A194" s="763"/>
      <c r="B194" s="738"/>
      <c r="C194" s="741"/>
      <c r="D194" s="749"/>
      <c r="E194" s="723"/>
      <c r="F194" s="732"/>
      <c r="G194" s="26" t="s">
        <v>26</v>
      </c>
      <c r="H194" s="27">
        <f>H186+H188+H190+H192</f>
        <v>0</v>
      </c>
      <c r="I194" s="28">
        <f>I186+I188+I190+I192</f>
        <v>0</v>
      </c>
      <c r="J194" s="29">
        <f t="shared" si="27"/>
        <v>0</v>
      </c>
      <c r="K194" s="29">
        <f aca="true" t="shared" si="40" ref="K194:S194">K186+K188+K190+K192</f>
        <v>0</v>
      </c>
      <c r="L194" s="30">
        <f t="shared" si="40"/>
        <v>0</v>
      </c>
      <c r="M194" s="30">
        <f t="shared" si="40"/>
        <v>0</v>
      </c>
      <c r="N194" s="30">
        <f t="shared" si="40"/>
        <v>0</v>
      </c>
      <c r="O194" s="30">
        <f t="shared" si="40"/>
        <v>0</v>
      </c>
      <c r="P194" s="30">
        <f t="shared" si="40"/>
        <v>0</v>
      </c>
      <c r="Q194" s="30">
        <f t="shared" si="40"/>
        <v>0</v>
      </c>
      <c r="R194" s="30">
        <f t="shared" si="40"/>
        <v>0</v>
      </c>
      <c r="S194" s="31">
        <f t="shared" si="40"/>
        <v>0</v>
      </c>
      <c r="T194" s="745"/>
    </row>
    <row r="195" spans="1:20" ht="12.75" customHeight="1">
      <c r="A195" s="724">
        <v>20</v>
      </c>
      <c r="B195" s="752" t="s">
        <v>51</v>
      </c>
      <c r="C195" s="739">
        <v>80110</v>
      </c>
      <c r="D195" s="747" t="s">
        <v>53</v>
      </c>
      <c r="E195" s="733">
        <v>2010</v>
      </c>
      <c r="F195" s="8" t="s">
        <v>14</v>
      </c>
      <c r="G195" s="32" t="s">
        <v>15</v>
      </c>
      <c r="H195" s="33"/>
      <c r="I195" s="11"/>
      <c r="J195" s="12">
        <f t="shared" si="27"/>
        <v>0</v>
      </c>
      <c r="K195" s="12"/>
      <c r="L195" s="34"/>
      <c r="M195" s="34"/>
      <c r="N195" s="34"/>
      <c r="O195" s="34"/>
      <c r="P195" s="34"/>
      <c r="Q195" s="34"/>
      <c r="R195" s="34"/>
      <c r="S195" s="35"/>
      <c r="T195" s="743">
        <f>L203+M203+N203+O203+P203+Q203+R203+L204+M204+N204+O204+P204+Q204+S203+S204+R204</f>
        <v>15600</v>
      </c>
    </row>
    <row r="196" spans="1:20" ht="12.75">
      <c r="A196" s="763"/>
      <c r="B196" s="737"/>
      <c r="C196" s="740"/>
      <c r="D196" s="748"/>
      <c r="E196" s="729"/>
      <c r="F196" s="746">
        <f>SUM(H203:S203)</f>
        <v>140400</v>
      </c>
      <c r="G196" s="15" t="s">
        <v>16</v>
      </c>
      <c r="H196" s="16"/>
      <c r="I196" s="17"/>
      <c r="J196" s="18">
        <f t="shared" si="27"/>
        <v>0</v>
      </c>
      <c r="K196" s="18"/>
      <c r="L196" s="18"/>
      <c r="M196" s="18"/>
      <c r="N196" s="18"/>
      <c r="O196" s="18"/>
      <c r="P196" s="18"/>
      <c r="Q196" s="18"/>
      <c r="R196" s="18"/>
      <c r="S196" s="19"/>
      <c r="T196" s="744"/>
    </row>
    <row r="197" spans="1:20" ht="12.75">
      <c r="A197" s="763"/>
      <c r="B197" s="737"/>
      <c r="C197" s="740"/>
      <c r="D197" s="748"/>
      <c r="E197" s="729"/>
      <c r="F197" s="728"/>
      <c r="G197" s="15" t="s">
        <v>17</v>
      </c>
      <c r="H197" s="16"/>
      <c r="I197" s="17"/>
      <c r="J197" s="18">
        <f t="shared" si="27"/>
        <v>0</v>
      </c>
      <c r="K197" s="18"/>
      <c r="L197" s="18"/>
      <c r="M197" s="18"/>
      <c r="N197" s="18"/>
      <c r="O197" s="18"/>
      <c r="P197" s="18"/>
      <c r="Q197" s="18"/>
      <c r="R197" s="18"/>
      <c r="S197" s="19"/>
      <c r="T197" s="744"/>
    </row>
    <row r="198" spans="1:20" ht="12.75">
      <c r="A198" s="763"/>
      <c r="B198" s="737"/>
      <c r="C198" s="740"/>
      <c r="D198" s="748"/>
      <c r="E198" s="729"/>
      <c r="F198" s="21" t="s">
        <v>18</v>
      </c>
      <c r="G198" s="15" t="s">
        <v>19</v>
      </c>
      <c r="H198" s="16"/>
      <c r="I198" s="17"/>
      <c r="J198" s="18">
        <f aca="true" t="shared" si="41" ref="J198:J234">SUM(H198:I198)</f>
        <v>0</v>
      </c>
      <c r="K198" s="18"/>
      <c r="L198" s="18"/>
      <c r="M198" s="18"/>
      <c r="N198" s="18"/>
      <c r="O198" s="18"/>
      <c r="P198" s="18"/>
      <c r="Q198" s="18"/>
      <c r="R198" s="18"/>
      <c r="S198" s="19"/>
      <c r="T198" s="744"/>
    </row>
    <row r="199" spans="1:20" ht="12.75">
      <c r="A199" s="763"/>
      <c r="B199" s="737"/>
      <c r="C199" s="740"/>
      <c r="D199" s="748"/>
      <c r="E199" s="729"/>
      <c r="F199" s="746">
        <f>SUM(H204:S204)</f>
        <v>0</v>
      </c>
      <c r="G199" s="15" t="s">
        <v>20</v>
      </c>
      <c r="H199" s="16">
        <f>62400-62400</f>
        <v>0</v>
      </c>
      <c r="I199" s="17">
        <v>62400</v>
      </c>
      <c r="J199" s="18">
        <f t="shared" si="41"/>
        <v>62400</v>
      </c>
      <c r="K199" s="18"/>
      <c r="L199" s="18">
        <v>15600</v>
      </c>
      <c r="M199" s="18"/>
      <c r="N199" s="18"/>
      <c r="O199" s="18"/>
      <c r="P199" s="18"/>
      <c r="Q199" s="18"/>
      <c r="R199" s="18"/>
      <c r="S199" s="19"/>
      <c r="T199" s="744"/>
    </row>
    <row r="200" spans="1:20" ht="12.75">
      <c r="A200" s="763"/>
      <c r="B200" s="737"/>
      <c r="C200" s="740"/>
      <c r="D200" s="748"/>
      <c r="E200" s="729">
        <v>2012</v>
      </c>
      <c r="F200" s="728"/>
      <c r="G200" s="15" t="s">
        <v>21</v>
      </c>
      <c r="H200" s="16"/>
      <c r="I200" s="17"/>
      <c r="J200" s="18">
        <f t="shared" si="41"/>
        <v>0</v>
      </c>
      <c r="K200" s="18"/>
      <c r="L200" s="18"/>
      <c r="M200" s="18"/>
      <c r="N200" s="18"/>
      <c r="O200" s="18"/>
      <c r="P200" s="18"/>
      <c r="Q200" s="18"/>
      <c r="R200" s="18"/>
      <c r="S200" s="19"/>
      <c r="T200" s="744"/>
    </row>
    <row r="201" spans="1:20" ht="12.75">
      <c r="A201" s="763"/>
      <c r="B201" s="737"/>
      <c r="C201" s="740"/>
      <c r="D201" s="748"/>
      <c r="E201" s="729"/>
      <c r="F201" s="21" t="s">
        <v>22</v>
      </c>
      <c r="G201" s="15" t="s">
        <v>23</v>
      </c>
      <c r="H201" s="16"/>
      <c r="I201" s="17"/>
      <c r="J201" s="18">
        <f t="shared" si="41"/>
        <v>0</v>
      </c>
      <c r="K201" s="18"/>
      <c r="L201" s="18"/>
      <c r="M201" s="18"/>
      <c r="N201" s="18"/>
      <c r="O201" s="18"/>
      <c r="P201" s="18"/>
      <c r="Q201" s="18"/>
      <c r="R201" s="18"/>
      <c r="S201" s="19"/>
      <c r="T201" s="744"/>
    </row>
    <row r="202" spans="1:20" ht="12.75">
      <c r="A202" s="763"/>
      <c r="B202" s="737"/>
      <c r="C202" s="740"/>
      <c r="D202" s="748"/>
      <c r="E202" s="729"/>
      <c r="F202" s="746">
        <f>F196+F199</f>
        <v>140400</v>
      </c>
      <c r="G202" s="15" t="s">
        <v>24</v>
      </c>
      <c r="H202" s="16"/>
      <c r="I202" s="17"/>
      <c r="J202" s="18">
        <f t="shared" si="41"/>
        <v>0</v>
      </c>
      <c r="K202" s="18"/>
      <c r="L202" s="18"/>
      <c r="M202" s="18"/>
      <c r="N202" s="18"/>
      <c r="O202" s="18"/>
      <c r="P202" s="18"/>
      <c r="Q202" s="18"/>
      <c r="R202" s="18"/>
      <c r="S202" s="19"/>
      <c r="T202" s="744"/>
    </row>
    <row r="203" spans="1:20" ht="12.75">
      <c r="A203" s="763"/>
      <c r="B203" s="737"/>
      <c r="C203" s="740"/>
      <c r="D203" s="748"/>
      <c r="E203" s="729"/>
      <c r="F203" s="731"/>
      <c r="G203" s="15" t="s">
        <v>25</v>
      </c>
      <c r="H203" s="22">
        <f>H195+H197+H199+H201</f>
        <v>0</v>
      </c>
      <c r="I203" s="23">
        <f>I195+I197+I199+I201</f>
        <v>62400</v>
      </c>
      <c r="J203" s="24">
        <f t="shared" si="41"/>
        <v>62400</v>
      </c>
      <c r="K203" s="24">
        <f aca="true" t="shared" si="42" ref="K203:S203">K195+K197+K199+K201</f>
        <v>0</v>
      </c>
      <c r="L203" s="24">
        <f t="shared" si="42"/>
        <v>15600</v>
      </c>
      <c r="M203" s="24">
        <f t="shared" si="42"/>
        <v>0</v>
      </c>
      <c r="N203" s="24">
        <f t="shared" si="42"/>
        <v>0</v>
      </c>
      <c r="O203" s="24">
        <f t="shared" si="42"/>
        <v>0</v>
      </c>
      <c r="P203" s="24">
        <f t="shared" si="42"/>
        <v>0</v>
      </c>
      <c r="Q203" s="24">
        <f t="shared" si="42"/>
        <v>0</v>
      </c>
      <c r="R203" s="24">
        <f t="shared" si="42"/>
        <v>0</v>
      </c>
      <c r="S203" s="25">
        <f t="shared" si="42"/>
        <v>0</v>
      </c>
      <c r="T203" s="744"/>
    </row>
    <row r="204" spans="1:20" ht="13.5" thickBot="1">
      <c r="A204" s="763"/>
      <c r="B204" s="738"/>
      <c r="C204" s="741"/>
      <c r="D204" s="742"/>
      <c r="E204" s="730"/>
      <c r="F204" s="732"/>
      <c r="G204" s="36" t="s">
        <v>26</v>
      </c>
      <c r="H204" s="37">
        <f>H196+H198+H200+H202</f>
        <v>0</v>
      </c>
      <c r="I204" s="28">
        <f>I196+I198+I200+I202</f>
        <v>0</v>
      </c>
      <c r="J204" s="29">
        <f t="shared" si="41"/>
        <v>0</v>
      </c>
      <c r="K204" s="29">
        <f aca="true" t="shared" si="43" ref="K204:S204">K196+K198+K200+K202</f>
        <v>0</v>
      </c>
      <c r="L204" s="29">
        <f t="shared" si="43"/>
        <v>0</v>
      </c>
      <c r="M204" s="29">
        <f t="shared" si="43"/>
        <v>0</v>
      </c>
      <c r="N204" s="29">
        <f t="shared" si="43"/>
        <v>0</v>
      </c>
      <c r="O204" s="29">
        <f t="shared" si="43"/>
        <v>0</v>
      </c>
      <c r="P204" s="29">
        <f t="shared" si="43"/>
        <v>0</v>
      </c>
      <c r="Q204" s="29">
        <f t="shared" si="43"/>
        <v>0</v>
      </c>
      <c r="R204" s="29">
        <f t="shared" si="43"/>
        <v>0</v>
      </c>
      <c r="S204" s="38">
        <f t="shared" si="43"/>
        <v>0</v>
      </c>
      <c r="T204" s="745"/>
    </row>
    <row r="205" spans="1:20" ht="12.75" customHeight="1">
      <c r="A205" s="724">
        <v>21</v>
      </c>
      <c r="B205" s="752" t="s">
        <v>51</v>
      </c>
      <c r="C205" s="739">
        <v>80130</v>
      </c>
      <c r="D205" s="747" t="s">
        <v>54</v>
      </c>
      <c r="E205" s="733">
        <v>2010</v>
      </c>
      <c r="F205" s="8" t="s">
        <v>14</v>
      </c>
      <c r="G205" s="32" t="s">
        <v>15</v>
      </c>
      <c r="H205" s="33"/>
      <c r="I205" s="11"/>
      <c r="J205" s="34">
        <f t="shared" si="41"/>
        <v>0</v>
      </c>
      <c r="K205" s="34"/>
      <c r="L205" s="34"/>
      <c r="M205" s="34"/>
      <c r="N205" s="34"/>
      <c r="O205" s="34"/>
      <c r="P205" s="34"/>
      <c r="Q205" s="34"/>
      <c r="R205" s="34"/>
      <c r="S205" s="35"/>
      <c r="T205" s="743">
        <f>L213+M213+N213+O213+P213+Q213+R213+L214+M214+N214+O214+P214+Q214+S213+S214+R214</f>
        <v>15600</v>
      </c>
    </row>
    <row r="206" spans="1:20" ht="12.75">
      <c r="A206" s="763"/>
      <c r="B206" s="737"/>
      <c r="C206" s="740"/>
      <c r="D206" s="748"/>
      <c r="E206" s="729"/>
      <c r="F206" s="746">
        <f>SUM(H213:S213)</f>
        <v>140400</v>
      </c>
      <c r="G206" s="15" t="s">
        <v>16</v>
      </c>
      <c r="H206" s="16"/>
      <c r="I206" s="17"/>
      <c r="J206" s="18">
        <f t="shared" si="41"/>
        <v>0</v>
      </c>
      <c r="K206" s="18"/>
      <c r="L206" s="18"/>
      <c r="M206" s="18"/>
      <c r="N206" s="18"/>
      <c r="O206" s="18"/>
      <c r="P206" s="18"/>
      <c r="Q206" s="18"/>
      <c r="R206" s="18"/>
      <c r="S206" s="19"/>
      <c r="T206" s="744"/>
    </row>
    <row r="207" spans="1:20" ht="12.75">
      <c r="A207" s="763"/>
      <c r="B207" s="737"/>
      <c r="C207" s="740"/>
      <c r="D207" s="748"/>
      <c r="E207" s="729"/>
      <c r="F207" s="728"/>
      <c r="G207" s="15" t="s">
        <v>17</v>
      </c>
      <c r="H207" s="16"/>
      <c r="I207" s="17"/>
      <c r="J207" s="18">
        <f t="shared" si="41"/>
        <v>0</v>
      </c>
      <c r="K207" s="18"/>
      <c r="L207" s="18"/>
      <c r="M207" s="18"/>
      <c r="N207" s="18"/>
      <c r="O207" s="18"/>
      <c r="P207" s="18"/>
      <c r="Q207" s="18"/>
      <c r="R207" s="18"/>
      <c r="S207" s="19"/>
      <c r="T207" s="744"/>
    </row>
    <row r="208" spans="1:20" ht="12.75">
      <c r="A208" s="763"/>
      <c r="B208" s="737"/>
      <c r="C208" s="740"/>
      <c r="D208" s="748"/>
      <c r="E208" s="729"/>
      <c r="F208" s="21" t="s">
        <v>18</v>
      </c>
      <c r="G208" s="15" t="s">
        <v>19</v>
      </c>
      <c r="H208" s="16"/>
      <c r="I208" s="17"/>
      <c r="J208" s="18">
        <f t="shared" si="41"/>
        <v>0</v>
      </c>
      <c r="K208" s="18"/>
      <c r="L208" s="18"/>
      <c r="M208" s="18"/>
      <c r="N208" s="18"/>
      <c r="O208" s="18"/>
      <c r="P208" s="18"/>
      <c r="Q208" s="18"/>
      <c r="R208" s="18"/>
      <c r="S208" s="19"/>
      <c r="T208" s="744"/>
    </row>
    <row r="209" spans="1:20" ht="12.75">
      <c r="A209" s="763"/>
      <c r="B209" s="737"/>
      <c r="C209" s="740"/>
      <c r="D209" s="748"/>
      <c r="E209" s="729"/>
      <c r="F209" s="746">
        <f>SUM(H214:S214)</f>
        <v>0</v>
      </c>
      <c r="G209" s="15" t="s">
        <v>20</v>
      </c>
      <c r="H209" s="16">
        <f>62400-62400</f>
        <v>0</v>
      </c>
      <c r="I209" s="17">
        <v>62400</v>
      </c>
      <c r="J209" s="18">
        <f t="shared" si="41"/>
        <v>62400</v>
      </c>
      <c r="K209" s="18"/>
      <c r="L209" s="18">
        <v>15600</v>
      </c>
      <c r="M209" s="18"/>
      <c r="N209" s="18"/>
      <c r="O209" s="18"/>
      <c r="P209" s="18"/>
      <c r="Q209" s="18"/>
      <c r="R209" s="18"/>
      <c r="S209" s="19"/>
      <c r="T209" s="744"/>
    </row>
    <row r="210" spans="1:20" ht="12.75">
      <c r="A210" s="763"/>
      <c r="B210" s="737"/>
      <c r="C210" s="740"/>
      <c r="D210" s="748"/>
      <c r="E210" s="729">
        <v>2012</v>
      </c>
      <c r="F210" s="728"/>
      <c r="G210" s="15" t="s">
        <v>21</v>
      </c>
      <c r="H210" s="16"/>
      <c r="I210" s="17"/>
      <c r="J210" s="18">
        <f t="shared" si="41"/>
        <v>0</v>
      </c>
      <c r="K210" s="18"/>
      <c r="L210" s="18"/>
      <c r="M210" s="18"/>
      <c r="N210" s="18"/>
      <c r="O210" s="18"/>
      <c r="P210" s="18"/>
      <c r="Q210" s="18"/>
      <c r="R210" s="18"/>
      <c r="S210" s="19"/>
      <c r="T210" s="744"/>
    </row>
    <row r="211" spans="1:20" ht="12.75">
      <c r="A211" s="763"/>
      <c r="B211" s="737"/>
      <c r="C211" s="740"/>
      <c r="D211" s="748"/>
      <c r="E211" s="729"/>
      <c r="F211" s="21" t="s">
        <v>22</v>
      </c>
      <c r="G211" s="15" t="s">
        <v>23</v>
      </c>
      <c r="H211" s="16"/>
      <c r="I211" s="17"/>
      <c r="J211" s="18">
        <f t="shared" si="41"/>
        <v>0</v>
      </c>
      <c r="K211" s="18"/>
      <c r="L211" s="18"/>
      <c r="M211" s="18"/>
      <c r="N211" s="18"/>
      <c r="O211" s="18"/>
      <c r="P211" s="18"/>
      <c r="Q211" s="18"/>
      <c r="R211" s="18"/>
      <c r="S211" s="19"/>
      <c r="T211" s="744"/>
    </row>
    <row r="212" spans="1:20" ht="12.75">
      <c r="A212" s="763"/>
      <c r="B212" s="737"/>
      <c r="C212" s="740"/>
      <c r="D212" s="748"/>
      <c r="E212" s="729"/>
      <c r="F212" s="746">
        <f>F206+F209</f>
        <v>140400</v>
      </c>
      <c r="G212" s="15" t="s">
        <v>24</v>
      </c>
      <c r="H212" s="16"/>
      <c r="I212" s="17"/>
      <c r="J212" s="18">
        <f t="shared" si="41"/>
        <v>0</v>
      </c>
      <c r="K212" s="18"/>
      <c r="L212" s="18"/>
      <c r="M212" s="18"/>
      <c r="N212" s="18"/>
      <c r="O212" s="18"/>
      <c r="P212" s="18"/>
      <c r="Q212" s="18"/>
      <c r="R212" s="18"/>
      <c r="S212" s="19"/>
      <c r="T212" s="744"/>
    </row>
    <row r="213" spans="1:20" ht="12.75">
      <c r="A213" s="763"/>
      <c r="B213" s="737"/>
      <c r="C213" s="740"/>
      <c r="D213" s="748"/>
      <c r="E213" s="729"/>
      <c r="F213" s="731"/>
      <c r="G213" s="15" t="s">
        <v>25</v>
      </c>
      <c r="H213" s="22">
        <f>H205+H207+H209+H211</f>
        <v>0</v>
      </c>
      <c r="I213" s="23">
        <f>I205+I207+I209+I211</f>
        <v>62400</v>
      </c>
      <c r="J213" s="24">
        <f t="shared" si="41"/>
        <v>62400</v>
      </c>
      <c r="K213" s="24">
        <f aca="true" t="shared" si="44" ref="K213:S213">K205+K207+K209+K211</f>
        <v>0</v>
      </c>
      <c r="L213" s="24">
        <f t="shared" si="44"/>
        <v>15600</v>
      </c>
      <c r="M213" s="24">
        <f t="shared" si="44"/>
        <v>0</v>
      </c>
      <c r="N213" s="24">
        <f t="shared" si="44"/>
        <v>0</v>
      </c>
      <c r="O213" s="24">
        <f t="shared" si="44"/>
        <v>0</v>
      </c>
      <c r="P213" s="24">
        <f t="shared" si="44"/>
        <v>0</v>
      </c>
      <c r="Q213" s="24">
        <f t="shared" si="44"/>
        <v>0</v>
      </c>
      <c r="R213" s="24">
        <f t="shared" si="44"/>
        <v>0</v>
      </c>
      <c r="S213" s="25">
        <f t="shared" si="44"/>
        <v>0</v>
      </c>
      <c r="T213" s="744"/>
    </row>
    <row r="214" spans="1:20" ht="13.5" thickBot="1">
      <c r="A214" s="725"/>
      <c r="B214" s="738"/>
      <c r="C214" s="741"/>
      <c r="D214" s="742"/>
      <c r="E214" s="730"/>
      <c r="F214" s="732"/>
      <c r="G214" s="36" t="s">
        <v>26</v>
      </c>
      <c r="H214" s="37">
        <f>H206+H208+H210+H212</f>
        <v>0</v>
      </c>
      <c r="I214" s="28">
        <f>I206+I208+I210+I212</f>
        <v>0</v>
      </c>
      <c r="J214" s="29">
        <f t="shared" si="41"/>
        <v>0</v>
      </c>
      <c r="K214" s="29">
        <f aca="true" t="shared" si="45" ref="K214:S214">K206+K208+K210+K212</f>
        <v>0</v>
      </c>
      <c r="L214" s="29">
        <f t="shared" si="45"/>
        <v>0</v>
      </c>
      <c r="M214" s="29">
        <f t="shared" si="45"/>
        <v>0</v>
      </c>
      <c r="N214" s="29">
        <f t="shared" si="45"/>
        <v>0</v>
      </c>
      <c r="O214" s="29">
        <f t="shared" si="45"/>
        <v>0</v>
      </c>
      <c r="P214" s="29">
        <f t="shared" si="45"/>
        <v>0</v>
      </c>
      <c r="Q214" s="29">
        <f t="shared" si="45"/>
        <v>0</v>
      </c>
      <c r="R214" s="29">
        <f t="shared" si="45"/>
        <v>0</v>
      </c>
      <c r="S214" s="38">
        <f t="shared" si="45"/>
        <v>0</v>
      </c>
      <c r="T214" s="745"/>
    </row>
    <row r="215" spans="1:20" ht="12.75" customHeight="1">
      <c r="A215" s="724">
        <v>22</v>
      </c>
      <c r="B215" s="752" t="s">
        <v>51</v>
      </c>
      <c r="C215" s="739">
        <v>80101</v>
      </c>
      <c r="D215" s="747" t="s">
        <v>55</v>
      </c>
      <c r="E215" s="733">
        <v>2009</v>
      </c>
      <c r="F215" s="8" t="s">
        <v>14</v>
      </c>
      <c r="G215" s="32" t="s">
        <v>15</v>
      </c>
      <c r="H215" s="33"/>
      <c r="I215" s="11"/>
      <c r="J215" s="12">
        <f t="shared" si="41"/>
        <v>0</v>
      </c>
      <c r="K215" s="12"/>
      <c r="L215" s="34"/>
      <c r="M215" s="34"/>
      <c r="N215" s="34"/>
      <c r="O215" s="34"/>
      <c r="P215" s="34"/>
      <c r="Q215" s="34"/>
      <c r="R215" s="34"/>
      <c r="S215" s="35"/>
      <c r="T215" s="743">
        <f>L223+M223+N223+O223+P223+Q223+R223+L224+M224+N224+O224+P224+Q224+S223+S224+R224</f>
        <v>0</v>
      </c>
    </row>
    <row r="216" spans="1:20" ht="12.75">
      <c r="A216" s="763"/>
      <c r="B216" s="737"/>
      <c r="C216" s="740"/>
      <c r="D216" s="748"/>
      <c r="E216" s="729"/>
      <c r="F216" s="746">
        <f>SUM(H223:S223)</f>
        <v>107633</v>
      </c>
      <c r="G216" s="15" t="s">
        <v>16</v>
      </c>
      <c r="H216" s="16"/>
      <c r="I216" s="17"/>
      <c r="J216" s="18">
        <f t="shared" si="41"/>
        <v>0</v>
      </c>
      <c r="K216" s="18"/>
      <c r="L216" s="18"/>
      <c r="M216" s="18"/>
      <c r="N216" s="18"/>
      <c r="O216" s="18"/>
      <c r="P216" s="18"/>
      <c r="Q216" s="18"/>
      <c r="R216" s="18"/>
      <c r="S216" s="19"/>
      <c r="T216" s="744"/>
    </row>
    <row r="217" spans="1:20" ht="12.75">
      <c r="A217" s="763"/>
      <c r="B217" s="737"/>
      <c r="C217" s="740"/>
      <c r="D217" s="748"/>
      <c r="E217" s="729"/>
      <c r="F217" s="728"/>
      <c r="G217" s="15" t="s">
        <v>17</v>
      </c>
      <c r="H217" s="16"/>
      <c r="I217" s="17"/>
      <c r="J217" s="18">
        <f t="shared" si="41"/>
        <v>0</v>
      </c>
      <c r="K217" s="18"/>
      <c r="L217" s="18"/>
      <c r="M217" s="18"/>
      <c r="N217" s="18"/>
      <c r="O217" s="18"/>
      <c r="P217" s="18"/>
      <c r="Q217" s="18"/>
      <c r="R217" s="18"/>
      <c r="S217" s="19"/>
      <c r="T217" s="744"/>
    </row>
    <row r="218" spans="1:20" ht="12.75">
      <c r="A218" s="763"/>
      <c r="B218" s="737"/>
      <c r="C218" s="740"/>
      <c r="D218" s="748"/>
      <c r="E218" s="729"/>
      <c r="F218" s="21" t="s">
        <v>18</v>
      </c>
      <c r="G218" s="15" t="s">
        <v>19</v>
      </c>
      <c r="H218" s="16"/>
      <c r="I218" s="17"/>
      <c r="J218" s="18">
        <f t="shared" si="41"/>
        <v>0</v>
      </c>
      <c r="K218" s="18"/>
      <c r="L218" s="18"/>
      <c r="M218" s="18"/>
      <c r="N218" s="18"/>
      <c r="O218" s="18"/>
      <c r="P218" s="18"/>
      <c r="Q218" s="18"/>
      <c r="R218" s="18"/>
      <c r="S218" s="19"/>
      <c r="T218" s="744"/>
    </row>
    <row r="219" spans="1:20" ht="12.75">
      <c r="A219" s="763"/>
      <c r="B219" s="737"/>
      <c r="C219" s="740"/>
      <c r="D219" s="748"/>
      <c r="E219" s="729"/>
      <c r="F219" s="746">
        <f>SUM(H224:S224)</f>
        <v>0</v>
      </c>
      <c r="G219" s="15" t="s">
        <v>20</v>
      </c>
      <c r="H219" s="16">
        <f>47837-47837</f>
        <v>0</v>
      </c>
      <c r="I219" s="17">
        <v>47837</v>
      </c>
      <c r="J219" s="18">
        <f t="shared" si="41"/>
        <v>47837</v>
      </c>
      <c r="K219" s="18">
        <v>11959</v>
      </c>
      <c r="L219" s="18"/>
      <c r="M219" s="18"/>
      <c r="N219" s="18"/>
      <c r="O219" s="18"/>
      <c r="P219" s="18"/>
      <c r="Q219" s="18"/>
      <c r="R219" s="18"/>
      <c r="S219" s="19"/>
      <c r="T219" s="744"/>
    </row>
    <row r="220" spans="1:20" ht="12.75">
      <c r="A220" s="763"/>
      <c r="B220" s="737"/>
      <c r="C220" s="740"/>
      <c r="D220" s="748"/>
      <c r="E220" s="729">
        <v>2011</v>
      </c>
      <c r="F220" s="728"/>
      <c r="G220" s="15" t="s">
        <v>21</v>
      </c>
      <c r="H220" s="16"/>
      <c r="I220" s="17"/>
      <c r="J220" s="18">
        <f t="shared" si="41"/>
        <v>0</v>
      </c>
      <c r="K220" s="18"/>
      <c r="L220" s="18"/>
      <c r="M220" s="18"/>
      <c r="N220" s="18"/>
      <c r="O220" s="18"/>
      <c r="P220" s="18"/>
      <c r="Q220" s="18"/>
      <c r="R220" s="18"/>
      <c r="S220" s="19"/>
      <c r="T220" s="744"/>
    </row>
    <row r="221" spans="1:20" ht="12.75">
      <c r="A221" s="763"/>
      <c r="B221" s="737"/>
      <c r="C221" s="740"/>
      <c r="D221" s="748"/>
      <c r="E221" s="729"/>
      <c r="F221" s="21" t="s">
        <v>22</v>
      </c>
      <c r="G221" s="15" t="s">
        <v>23</v>
      </c>
      <c r="H221" s="16"/>
      <c r="I221" s="17"/>
      <c r="J221" s="18">
        <f t="shared" si="41"/>
        <v>0</v>
      </c>
      <c r="K221" s="18"/>
      <c r="L221" s="18"/>
      <c r="M221" s="18"/>
      <c r="N221" s="18"/>
      <c r="O221" s="18"/>
      <c r="P221" s="18"/>
      <c r="Q221" s="18"/>
      <c r="R221" s="18"/>
      <c r="S221" s="19"/>
      <c r="T221" s="744"/>
    </row>
    <row r="222" spans="1:20" ht="12.75">
      <c r="A222" s="763"/>
      <c r="B222" s="737"/>
      <c r="C222" s="740"/>
      <c r="D222" s="748"/>
      <c r="E222" s="729"/>
      <c r="F222" s="746">
        <f>F216+F219</f>
        <v>107633</v>
      </c>
      <c r="G222" s="15" t="s">
        <v>24</v>
      </c>
      <c r="H222" s="16"/>
      <c r="I222" s="17"/>
      <c r="J222" s="18">
        <f t="shared" si="41"/>
        <v>0</v>
      </c>
      <c r="K222" s="18"/>
      <c r="L222" s="18"/>
      <c r="M222" s="18"/>
      <c r="N222" s="18"/>
      <c r="O222" s="18"/>
      <c r="P222" s="18"/>
      <c r="Q222" s="18"/>
      <c r="R222" s="18"/>
      <c r="S222" s="19"/>
      <c r="T222" s="744"/>
    </row>
    <row r="223" spans="1:20" ht="12.75">
      <c r="A223" s="763"/>
      <c r="B223" s="737"/>
      <c r="C223" s="740"/>
      <c r="D223" s="748"/>
      <c r="E223" s="729"/>
      <c r="F223" s="731"/>
      <c r="G223" s="15" t="s">
        <v>25</v>
      </c>
      <c r="H223" s="22">
        <f>H215+H217+H219+H221</f>
        <v>0</v>
      </c>
      <c r="I223" s="23">
        <f>I215+I217+I219+I221</f>
        <v>47837</v>
      </c>
      <c r="J223" s="24">
        <f t="shared" si="41"/>
        <v>47837</v>
      </c>
      <c r="K223" s="24">
        <f aca="true" t="shared" si="46" ref="K223:S223">K215+K217+K219+K221</f>
        <v>11959</v>
      </c>
      <c r="L223" s="24">
        <f t="shared" si="46"/>
        <v>0</v>
      </c>
      <c r="M223" s="24">
        <f t="shared" si="46"/>
        <v>0</v>
      </c>
      <c r="N223" s="24">
        <f t="shared" si="46"/>
        <v>0</v>
      </c>
      <c r="O223" s="24">
        <f t="shared" si="46"/>
        <v>0</v>
      </c>
      <c r="P223" s="24">
        <f t="shared" si="46"/>
        <v>0</v>
      </c>
      <c r="Q223" s="24">
        <f t="shared" si="46"/>
        <v>0</v>
      </c>
      <c r="R223" s="24">
        <f t="shared" si="46"/>
        <v>0</v>
      </c>
      <c r="S223" s="25">
        <f t="shared" si="46"/>
        <v>0</v>
      </c>
      <c r="T223" s="744"/>
    </row>
    <row r="224" spans="1:20" ht="13.5" thickBot="1">
      <c r="A224" s="763"/>
      <c r="B224" s="738"/>
      <c r="C224" s="741"/>
      <c r="D224" s="742"/>
      <c r="E224" s="730"/>
      <c r="F224" s="732"/>
      <c r="G224" s="36" t="s">
        <v>26</v>
      </c>
      <c r="H224" s="37">
        <f>H216+H218+H220+H222</f>
        <v>0</v>
      </c>
      <c r="I224" s="28">
        <f>I216+I218+I220+I222</f>
        <v>0</v>
      </c>
      <c r="J224" s="29">
        <f t="shared" si="41"/>
        <v>0</v>
      </c>
      <c r="K224" s="29">
        <f aca="true" t="shared" si="47" ref="K224:S224">K216+K218+K220+K222</f>
        <v>0</v>
      </c>
      <c r="L224" s="29">
        <f t="shared" si="47"/>
        <v>0</v>
      </c>
      <c r="M224" s="29">
        <f t="shared" si="47"/>
        <v>0</v>
      </c>
      <c r="N224" s="29">
        <f t="shared" si="47"/>
        <v>0</v>
      </c>
      <c r="O224" s="29">
        <f t="shared" si="47"/>
        <v>0</v>
      </c>
      <c r="P224" s="29">
        <f t="shared" si="47"/>
        <v>0</v>
      </c>
      <c r="Q224" s="29">
        <f t="shared" si="47"/>
        <v>0</v>
      </c>
      <c r="R224" s="29">
        <f t="shared" si="47"/>
        <v>0</v>
      </c>
      <c r="S224" s="38">
        <f t="shared" si="47"/>
        <v>0</v>
      </c>
      <c r="T224" s="745"/>
    </row>
    <row r="225" spans="1:20" ht="12.75" customHeight="1">
      <c r="A225" s="724">
        <v>23</v>
      </c>
      <c r="B225" s="752" t="s">
        <v>51</v>
      </c>
      <c r="C225" s="739">
        <v>80110</v>
      </c>
      <c r="D225" s="747" t="s">
        <v>56</v>
      </c>
      <c r="E225" s="733">
        <v>2009</v>
      </c>
      <c r="F225" s="8" t="s">
        <v>14</v>
      </c>
      <c r="G225" s="32" t="s">
        <v>15</v>
      </c>
      <c r="H225" s="33"/>
      <c r="I225" s="11"/>
      <c r="J225" s="12">
        <f t="shared" si="41"/>
        <v>0</v>
      </c>
      <c r="K225" s="12"/>
      <c r="L225" s="34"/>
      <c r="M225" s="34"/>
      <c r="N225" s="34"/>
      <c r="O225" s="34"/>
      <c r="P225" s="34"/>
      <c r="Q225" s="34"/>
      <c r="R225" s="34"/>
      <c r="S225" s="35"/>
      <c r="T225" s="743">
        <f>L233+M233+N233+O233+P233+Q233+R233+L234+M234+N234+O234+P234+Q234+S233+S234+R234</f>
        <v>0</v>
      </c>
    </row>
    <row r="226" spans="1:20" ht="12.75">
      <c r="A226" s="763"/>
      <c r="B226" s="737"/>
      <c r="C226" s="740"/>
      <c r="D226" s="748"/>
      <c r="E226" s="729"/>
      <c r="F226" s="746">
        <f>SUM(H233:S233)</f>
        <v>172213</v>
      </c>
      <c r="G226" s="15" t="s">
        <v>16</v>
      </c>
      <c r="H226" s="16"/>
      <c r="I226" s="17"/>
      <c r="J226" s="18">
        <f t="shared" si="41"/>
        <v>0</v>
      </c>
      <c r="K226" s="18"/>
      <c r="L226" s="18"/>
      <c r="M226" s="18"/>
      <c r="N226" s="18"/>
      <c r="O226" s="18"/>
      <c r="P226" s="18"/>
      <c r="Q226" s="18"/>
      <c r="R226" s="18"/>
      <c r="S226" s="19"/>
      <c r="T226" s="744"/>
    </row>
    <row r="227" spans="1:20" ht="12.75">
      <c r="A227" s="763"/>
      <c r="B227" s="737"/>
      <c r="C227" s="740"/>
      <c r="D227" s="748"/>
      <c r="E227" s="729"/>
      <c r="F227" s="728"/>
      <c r="G227" s="15" t="s">
        <v>17</v>
      </c>
      <c r="H227" s="16"/>
      <c r="I227" s="17"/>
      <c r="J227" s="18">
        <f t="shared" si="41"/>
        <v>0</v>
      </c>
      <c r="K227" s="18"/>
      <c r="L227" s="18"/>
      <c r="M227" s="18"/>
      <c r="N227" s="18"/>
      <c r="O227" s="18"/>
      <c r="P227" s="18"/>
      <c r="Q227" s="18"/>
      <c r="R227" s="18"/>
      <c r="S227" s="19"/>
      <c r="T227" s="744"/>
    </row>
    <row r="228" spans="1:20" ht="12.75">
      <c r="A228" s="763"/>
      <c r="B228" s="737"/>
      <c r="C228" s="740"/>
      <c r="D228" s="748"/>
      <c r="E228" s="729"/>
      <c r="F228" s="21" t="s">
        <v>18</v>
      </c>
      <c r="G228" s="15" t="s">
        <v>19</v>
      </c>
      <c r="H228" s="16"/>
      <c r="I228" s="17"/>
      <c r="J228" s="18">
        <f t="shared" si="41"/>
        <v>0</v>
      </c>
      <c r="K228" s="18"/>
      <c r="L228" s="18"/>
      <c r="M228" s="18"/>
      <c r="N228" s="18"/>
      <c r="O228" s="18"/>
      <c r="P228" s="18"/>
      <c r="Q228" s="18"/>
      <c r="R228" s="18"/>
      <c r="S228" s="19"/>
      <c r="T228" s="744"/>
    </row>
    <row r="229" spans="1:20" ht="12.75">
      <c r="A229" s="763"/>
      <c r="B229" s="737"/>
      <c r="C229" s="740"/>
      <c r="D229" s="748"/>
      <c r="E229" s="729"/>
      <c r="F229" s="746">
        <f>SUM(H234:S234)</f>
        <v>0</v>
      </c>
      <c r="G229" s="15" t="s">
        <v>20</v>
      </c>
      <c r="H229" s="16">
        <f>76539-67197</f>
        <v>9342</v>
      </c>
      <c r="I229" s="17">
        <v>67197</v>
      </c>
      <c r="J229" s="18">
        <f t="shared" si="41"/>
        <v>76539</v>
      </c>
      <c r="K229" s="18">
        <v>19135</v>
      </c>
      <c r="L229" s="18"/>
      <c r="M229" s="18"/>
      <c r="N229" s="18"/>
      <c r="O229" s="18"/>
      <c r="P229" s="18"/>
      <c r="Q229" s="18"/>
      <c r="R229" s="18"/>
      <c r="S229" s="19"/>
      <c r="T229" s="744"/>
    </row>
    <row r="230" spans="1:20" ht="12.75">
      <c r="A230" s="763"/>
      <c r="B230" s="737"/>
      <c r="C230" s="740"/>
      <c r="D230" s="748"/>
      <c r="E230" s="729">
        <v>2011</v>
      </c>
      <c r="F230" s="728"/>
      <c r="G230" s="15" t="s">
        <v>21</v>
      </c>
      <c r="H230" s="16"/>
      <c r="I230" s="17"/>
      <c r="J230" s="18">
        <f t="shared" si="41"/>
        <v>0</v>
      </c>
      <c r="K230" s="18"/>
      <c r="L230" s="18"/>
      <c r="M230" s="18"/>
      <c r="N230" s="18"/>
      <c r="O230" s="18"/>
      <c r="P230" s="18"/>
      <c r="Q230" s="18"/>
      <c r="R230" s="18"/>
      <c r="S230" s="19"/>
      <c r="T230" s="744"/>
    </row>
    <row r="231" spans="1:20" ht="12.75">
      <c r="A231" s="763"/>
      <c r="B231" s="737"/>
      <c r="C231" s="740"/>
      <c r="D231" s="748"/>
      <c r="E231" s="729"/>
      <c r="F231" s="21" t="s">
        <v>22</v>
      </c>
      <c r="G231" s="15" t="s">
        <v>23</v>
      </c>
      <c r="H231" s="16"/>
      <c r="I231" s="17"/>
      <c r="J231" s="18">
        <f t="shared" si="41"/>
        <v>0</v>
      </c>
      <c r="K231" s="18"/>
      <c r="L231" s="18"/>
      <c r="M231" s="18"/>
      <c r="N231" s="18"/>
      <c r="O231" s="18"/>
      <c r="P231" s="18"/>
      <c r="Q231" s="18"/>
      <c r="R231" s="18"/>
      <c r="S231" s="19"/>
      <c r="T231" s="744"/>
    </row>
    <row r="232" spans="1:20" ht="12.75">
      <c r="A232" s="763"/>
      <c r="B232" s="737"/>
      <c r="C232" s="740"/>
      <c r="D232" s="748"/>
      <c r="E232" s="729"/>
      <c r="F232" s="746">
        <f>F226+F229</f>
        <v>172213</v>
      </c>
      <c r="G232" s="15" t="s">
        <v>24</v>
      </c>
      <c r="H232" s="16"/>
      <c r="I232" s="17"/>
      <c r="J232" s="18">
        <f t="shared" si="41"/>
        <v>0</v>
      </c>
      <c r="K232" s="18"/>
      <c r="L232" s="18"/>
      <c r="M232" s="18"/>
      <c r="N232" s="18"/>
      <c r="O232" s="18"/>
      <c r="P232" s="18"/>
      <c r="Q232" s="18"/>
      <c r="R232" s="18"/>
      <c r="S232" s="19"/>
      <c r="T232" s="744"/>
    </row>
    <row r="233" spans="1:20" ht="12.75">
      <c r="A233" s="763"/>
      <c r="B233" s="737"/>
      <c r="C233" s="740"/>
      <c r="D233" s="748"/>
      <c r="E233" s="729"/>
      <c r="F233" s="731"/>
      <c r="G233" s="15" t="s">
        <v>25</v>
      </c>
      <c r="H233" s="22">
        <f>H225+H227+H229+H231</f>
        <v>9342</v>
      </c>
      <c r="I233" s="23">
        <f>I225+I227+I229+I231</f>
        <v>67197</v>
      </c>
      <c r="J233" s="24">
        <f t="shared" si="41"/>
        <v>76539</v>
      </c>
      <c r="K233" s="24">
        <f aca="true" t="shared" si="48" ref="K233:S233">K225+K227+K229+K231</f>
        <v>19135</v>
      </c>
      <c r="L233" s="24">
        <f t="shared" si="48"/>
        <v>0</v>
      </c>
      <c r="M233" s="24">
        <f t="shared" si="48"/>
        <v>0</v>
      </c>
      <c r="N233" s="24">
        <f t="shared" si="48"/>
        <v>0</v>
      </c>
      <c r="O233" s="24">
        <f t="shared" si="48"/>
        <v>0</v>
      </c>
      <c r="P233" s="24">
        <f t="shared" si="48"/>
        <v>0</v>
      </c>
      <c r="Q233" s="24">
        <f t="shared" si="48"/>
        <v>0</v>
      </c>
      <c r="R233" s="24">
        <f t="shared" si="48"/>
        <v>0</v>
      </c>
      <c r="S233" s="25">
        <f t="shared" si="48"/>
        <v>0</v>
      </c>
      <c r="T233" s="744"/>
    </row>
    <row r="234" spans="1:20" ht="13.5" thickBot="1">
      <c r="A234" s="763"/>
      <c r="B234" s="738"/>
      <c r="C234" s="741"/>
      <c r="D234" s="742"/>
      <c r="E234" s="730"/>
      <c r="F234" s="732"/>
      <c r="G234" s="36" t="s">
        <v>26</v>
      </c>
      <c r="H234" s="37">
        <f>H226+H228+H230+H232</f>
        <v>0</v>
      </c>
      <c r="I234" s="28">
        <f>I226+I228+I230+I232</f>
        <v>0</v>
      </c>
      <c r="J234" s="29">
        <f t="shared" si="41"/>
        <v>0</v>
      </c>
      <c r="K234" s="29">
        <f aca="true" t="shared" si="49" ref="K234:S234">K226+K228+K230+K232</f>
        <v>0</v>
      </c>
      <c r="L234" s="29">
        <f t="shared" si="49"/>
        <v>0</v>
      </c>
      <c r="M234" s="29">
        <f t="shared" si="49"/>
        <v>0</v>
      </c>
      <c r="N234" s="29">
        <f t="shared" si="49"/>
        <v>0</v>
      </c>
      <c r="O234" s="29">
        <f t="shared" si="49"/>
        <v>0</v>
      </c>
      <c r="P234" s="29">
        <f t="shared" si="49"/>
        <v>0</v>
      </c>
      <c r="Q234" s="29">
        <f t="shared" si="49"/>
        <v>0</v>
      </c>
      <c r="R234" s="29">
        <f t="shared" si="49"/>
        <v>0</v>
      </c>
      <c r="S234" s="38">
        <f t="shared" si="49"/>
        <v>0</v>
      </c>
      <c r="T234" s="745"/>
    </row>
    <row r="235" ht="12.75" hidden="1"/>
    <row r="236" spans="4:20" s="40" customFormat="1" ht="11.25" hidden="1">
      <c r="D236" s="41"/>
      <c r="E236" s="41"/>
      <c r="F236" s="42">
        <f>H236+I236+K236+L236+M236+N236</f>
        <v>55210058</v>
      </c>
      <c r="G236" s="43" t="s">
        <v>14</v>
      </c>
      <c r="H236" s="42">
        <f>SUM(H233,H223,H213,H203,H193,H183,H173,H163,H153,H143,H133,H123,H113,H103,H93,H83,H73,H63,H53,H43,H33,H23,H13)</f>
        <v>453567</v>
      </c>
      <c r="I236" s="42">
        <f>SUM(I233,I223,I213,I203,I193,I183,I173,I163,I153,I143,I133,I123,I113,I103,I93,I83,I73,I63,I53,I43,I33,I23,I13)</f>
        <v>8597323</v>
      </c>
      <c r="J236" s="42">
        <f>SUM(H236:I236)</f>
        <v>9050890</v>
      </c>
      <c r="K236" s="42">
        <f>K233+K223+K213+K203+K193+K183+K173+K163+K153+K143+K133+K123+K113+K103+K93+K83+K73+K63+K53+K43+K33+K23+K13</f>
        <v>17894983</v>
      </c>
      <c r="L236" s="42">
        <f>L233+L223+L213+L203+L193+L183+L173+L163+L153+L143+L133+L123+L113+L103+L93+L83+L73+L63+L53+L43+L33+L23+L13</f>
        <v>27204713</v>
      </c>
      <c r="M236" s="42">
        <f>M233+M223+M213+M203+M193+M183+M173+M163+M153+M143+M133+M123+M113+M103+M93+M83+M73+M63+M53+M43+M33+M23+M13</f>
        <v>1059472</v>
      </c>
      <c r="N236" s="42">
        <f>N233+N223+N213+N203+N193+N183+N173+N163+N153+N143+N133+N123+N113+N103+N93+N83+N73+N63+N53+N43+N33+N23+N13</f>
        <v>0</v>
      </c>
      <c r="O236" s="42">
        <f>O233+O223+O213+O203+O193+O183+O173+O163+O153+O143+O133+O123+O113+O103+O93+O83+O73+O63+O53+O43+O33+O23+O13</f>
        <v>0</v>
      </c>
      <c r="P236" s="42">
        <f>P233+P223+P213+P203+P193+P183+P173+P163+P153+P143+P133+P123+P103+P93+P83+P73+P63+P53+P43+P33+P23+P13</f>
        <v>0</v>
      </c>
      <c r="Q236" s="42">
        <f>Q233+Q223+Q213+Q203+Q193+Q63+Q183+Q173+Q53+Q163+Q153+Q93+Q143+Q133+Q123+Q113+Q103+Q83+Q73</f>
        <v>0</v>
      </c>
      <c r="R236" s="42">
        <f>R233+R223+R213+R203+R193+R63+R183+R173+R53+R163+R153+R93+R143+R133+R123+R113+R103+R83+R73</f>
        <v>0</v>
      </c>
      <c r="S236" s="42">
        <f>S233+S223+S213+S203+S193+S63+S183+S173+S53+S163+S153+S93+S143+S133+S123+S113+S103+S83+S73</f>
        <v>0</v>
      </c>
      <c r="T236" s="42">
        <f>T233+T223+T213+T203+T193+T63+T183+T173+T53+T163+T153+T93+T143+T133+T123+T113+T103+T83+T73</f>
        <v>0</v>
      </c>
    </row>
    <row r="237" spans="4:20" s="40" customFormat="1" ht="11.25" hidden="1">
      <c r="D237" s="41"/>
      <c r="E237" s="41"/>
      <c r="F237" s="42">
        <f>H237+I237+K237+L237+M237+N237</f>
        <v>430396936</v>
      </c>
      <c r="G237" s="43" t="s">
        <v>18</v>
      </c>
      <c r="H237" s="42">
        <f>H234+H224+H214+H204+H194+H184+H174+H164+H154+H144+H134+H124+H104+H94+H84+H74+H64+H54+H44+H34+H24+H14</f>
        <v>19823179</v>
      </c>
      <c r="I237" s="42">
        <f>I234+I224+I214+I204+I194+I184+I174+I164+I154+I144+I134+I124+I104+I94+I84+I74+I64+I54+I44+I34+I24+I14</f>
        <v>70843290</v>
      </c>
      <c r="J237" s="42">
        <f>SUM(H237:I237)</f>
        <v>90666469</v>
      </c>
      <c r="K237" s="42">
        <f>K234+K224+K214+K204+K194+K184+K174+K164+K154+K144+K134+K124+K104+K94+K84+K74+K64+K54+K44+K34+K24+K14</f>
        <v>145228649</v>
      </c>
      <c r="L237" s="42">
        <f>L234+L224+L214+L204+L194+L184+L174+L164+L154+L144+L134+L124+L104+L94+L84+L74+L64+L54+L44+L34+L24+L14</f>
        <v>174505768</v>
      </c>
      <c r="M237" s="42">
        <f>M234+M224+M214+M204+M194+M184+M174+M164+M154+M144+M134+M124+M104+M94+M84+M74+M64+M54+M44+M34+M24+M14</f>
        <v>19926692</v>
      </c>
      <c r="N237" s="42">
        <f>N234+N224+N214+N204+N194+N184+N174+N164+N154+N144+N134+N124+N104+N94+N84+N74+N64+N54+N44+N34+N24+N14</f>
        <v>69358</v>
      </c>
      <c r="O237" s="42">
        <f>O234+O224+O214+O204+O194+O184+O174+O164+O154+O144+O134+O124+O104+O94+O84+O74+O64+O54+O44+O34+O24+O14</f>
        <v>0</v>
      </c>
      <c r="P237" s="42">
        <f>P234+P224+P214+P204+P194+P184+P174+P164+P154+P144+P134+P124+P104+P94+P84+P74+P64+P54+P44+P34+P24+P14</f>
        <v>0</v>
      </c>
      <c r="Q237" s="42">
        <f>Q234+Q224+Q214+Q204+Q194+Q24+Q64+Q184+Q174+Q54+Q164+Q154+Q94+Q144+Q14+Q134+Q124+Q114+Q104+Q84+Q74</f>
        <v>0</v>
      </c>
      <c r="R237" s="42">
        <f>R234+R224+R214+R204+R194+R24+R64+R184+R174+R54+R164+R154+R94+R144+R14+R134+R124+R114+R104+R84+R74</f>
        <v>0</v>
      </c>
      <c r="S237" s="42">
        <f>S234+S224+S214+S204+S194+S24+S64+S184+S174+S54+S164+S154+S94+S144+S14+S134+S124+S114+S104+S84+S74</f>
        <v>0</v>
      </c>
      <c r="T237" s="42">
        <f>T234+T224+T214+T204+T194+T24+T64+T184+T174+T54+T164+T154+T94+T144+T14+T134+T124+T114+T104+T84+T74</f>
        <v>0</v>
      </c>
    </row>
    <row r="238" spans="6:8" ht="12.75" hidden="1">
      <c r="F238" s="44">
        <f>F237+F236</f>
        <v>485606994</v>
      </c>
      <c r="H238" s="44"/>
    </row>
    <row r="239" ht="12.75" hidden="1"/>
    <row r="240" spans="7:15" ht="12.75" hidden="1">
      <c r="G240" s="44">
        <f>H236+K236+L236+M236+I236+N236</f>
        <v>55210058</v>
      </c>
      <c r="H240" s="44"/>
      <c r="I240" s="44"/>
      <c r="J240" s="44"/>
      <c r="K240" s="44"/>
      <c r="L240" s="44"/>
      <c r="M240" s="44"/>
      <c r="N240" s="44"/>
      <c r="O240" s="44"/>
    </row>
    <row r="241" spans="7:16" ht="12.75" hidden="1">
      <c r="G241" s="44">
        <f>H237+K237+L237+M237+I237+N237</f>
        <v>430396936</v>
      </c>
      <c r="H241" s="44"/>
      <c r="I241" s="44"/>
      <c r="J241" s="44"/>
      <c r="K241" s="44"/>
      <c r="L241" s="44"/>
      <c r="M241" s="44"/>
      <c r="N241" s="44"/>
      <c r="O241" s="44"/>
      <c r="P241" s="44"/>
    </row>
    <row r="242" ht="12.75" hidden="1">
      <c r="D242" s="45"/>
    </row>
    <row r="243" ht="12.75" hidden="1">
      <c r="G243" s="44">
        <f>G240+G241</f>
        <v>485606994</v>
      </c>
    </row>
    <row r="244" spans="8:20" ht="12.75" hidden="1">
      <c r="H244" s="44">
        <f>H236+H237</f>
        <v>20276746</v>
      </c>
      <c r="I244" s="44">
        <f>I236+I237</f>
        <v>79440613</v>
      </c>
      <c r="J244" s="44"/>
      <c r="K244" s="44">
        <f aca="true" t="shared" si="50" ref="K244:T244">K236+K237</f>
        <v>163123632</v>
      </c>
      <c r="L244" s="44">
        <f t="shared" si="50"/>
        <v>201710481</v>
      </c>
      <c r="M244" s="44">
        <f t="shared" si="50"/>
        <v>20986164</v>
      </c>
      <c r="N244" s="44">
        <f t="shared" si="50"/>
        <v>69358</v>
      </c>
      <c r="O244" s="44">
        <f t="shared" si="50"/>
        <v>0</v>
      </c>
      <c r="P244" s="44">
        <f t="shared" si="50"/>
        <v>0</v>
      </c>
      <c r="Q244" s="44">
        <f t="shared" si="50"/>
        <v>0</v>
      </c>
      <c r="R244" s="44">
        <f t="shared" si="50"/>
        <v>0</v>
      </c>
      <c r="S244" s="44">
        <f t="shared" si="50"/>
        <v>0</v>
      </c>
      <c r="T244" s="44">
        <f t="shared" si="50"/>
        <v>0</v>
      </c>
    </row>
    <row r="245" ht="12.75" hidden="1"/>
    <row r="246" ht="12.75" hidden="1"/>
    <row r="247" ht="12.75" hidden="1"/>
    <row r="248" spans="6:16" ht="12.75" hidden="1">
      <c r="F248" t="s">
        <v>57</v>
      </c>
      <c r="H248" s="44">
        <f>H225+H215+H205+H195+H185++H175+H165+H155+H145+H135+H125+H115+H105+H95+H85+H75+H65+H55+H45+H35+H25+H15+H5</f>
        <v>144574</v>
      </c>
      <c r="I248" s="44">
        <f>I225+I215+I205+I195+I185++I175+I165+I155+I145+I135+I125+I115+I105+I95+I85+I75+I65+I55+I45+I35+I25+I15+I5</f>
        <v>4358533</v>
      </c>
      <c r="J248" s="44"/>
      <c r="K248" s="44">
        <f aca="true" t="shared" si="51" ref="K248:P248">K225+K215+K205+K195+K185++K175+K165+K155+K145+K135+K125+K115+K105+K95+K85+K75+K65+K55+K45+K35+K25+K15+K5</f>
        <v>14636667</v>
      </c>
      <c r="L248" s="44">
        <f t="shared" si="51"/>
        <v>21871397</v>
      </c>
      <c r="M248" s="44">
        <f t="shared" si="51"/>
        <v>265962</v>
      </c>
      <c r="N248" s="44">
        <f t="shared" si="51"/>
        <v>0</v>
      </c>
      <c r="O248" s="44">
        <f t="shared" si="51"/>
        <v>0</v>
      </c>
      <c r="P248" s="44">
        <f t="shared" si="51"/>
        <v>0</v>
      </c>
    </row>
    <row r="249" spans="6:16" ht="12.75" hidden="1">
      <c r="F249" t="s">
        <v>58</v>
      </c>
      <c r="H249" s="44">
        <f>H226+H216+H206+H196+H186+H176+H166+H156+H146+H136+H126+H116+H106+H96+H86+H76+H66+H56+H46+H36+H26+H16+H6</f>
        <v>10940509</v>
      </c>
      <c r="I249" s="44">
        <f>I226+I216+I206+I196+I186+I176+I166+I156+I146+I136+I126+I116+I106+I96+I86+I76+I66+I56+I46+I36+I26+I16+I6</f>
        <v>33110631</v>
      </c>
      <c r="J249" s="44"/>
      <c r="K249" s="44">
        <f>K226+K216+K206+K196+K186+K176+K166+K156+K146+K136+K126+K116+K106+K96+K86+K76+K66+K56+K46+K36+K26+K16+K6</f>
        <v>31199406</v>
      </c>
      <c r="L249" s="44">
        <f>L226+L216+L206+L196+L186+L176+L166+L156+L146+L136+L126+L116+L106+L96+L86+L76+L66+L56+L46+L36+L26+L16+L6</f>
        <v>33728528</v>
      </c>
      <c r="M249" s="44">
        <f>M226+M216+M206+M196+M186+M176+M166+M156+M146+M136+M126+M116+M106+M96+M86+M76+M66+M56+M46+M36+M26+M16+M6</f>
        <v>3929527</v>
      </c>
      <c r="N249" s="44">
        <f>N226+N216+N206+N196+N186+N176+N166+N156+N146+N136+N126+N116+N106+N96+N86+N76+N66+N56+N46+N36+N26+N16+N6</f>
        <v>10404</v>
      </c>
      <c r="O249" s="44">
        <f>O226+O216+O206+O196+O186+O176+O166+O156+O146+O136+O126+O116+O106+O96+O86+O76+O66+O56+O46+O36+O26+O16+O6</f>
        <v>0</v>
      </c>
      <c r="P249" s="44">
        <f>P226+P216+P206+P196+P186+P186+P176+P166+P156+P146+P136+P126+P116+P106+P96+P86+P76+P66+P56+P46+P36+P26+P16+P6</f>
        <v>0</v>
      </c>
    </row>
    <row r="250" spans="7:16" ht="12.75" hidden="1">
      <c r="G250" s="46" t="s">
        <v>59</v>
      </c>
      <c r="H250" s="47">
        <f>H248+H249</f>
        <v>11085083</v>
      </c>
      <c r="I250" s="47">
        <f>I248+I249</f>
        <v>37469164</v>
      </c>
      <c r="J250" s="47"/>
      <c r="K250" s="47">
        <f aca="true" t="shared" si="52" ref="K250:P250">K248+K249</f>
        <v>45836073</v>
      </c>
      <c r="L250" s="47">
        <f t="shared" si="52"/>
        <v>55599925</v>
      </c>
      <c r="M250" s="47">
        <f t="shared" si="52"/>
        <v>4195489</v>
      </c>
      <c r="N250" s="44">
        <f t="shared" si="52"/>
        <v>10404</v>
      </c>
      <c r="O250" s="44">
        <f t="shared" si="52"/>
        <v>0</v>
      </c>
      <c r="P250" s="44">
        <f t="shared" si="52"/>
        <v>0</v>
      </c>
    </row>
    <row r="251" ht="12.75" hidden="1"/>
    <row r="252" spans="6:16" ht="12.75" hidden="1">
      <c r="F252" t="s">
        <v>60</v>
      </c>
      <c r="H252" s="44">
        <f>H229+H219+H209+H199+H189+H179+H169+H159+H149+H139+H129+H119+H109+H99+H89+H79+H69+H59+H49+H39+H29+H19+H9</f>
        <v>308993</v>
      </c>
      <c r="I252" s="44">
        <f>I229+I219+I209+I199+I189+I179+I169+I159+I149+I139+I129+I119+I109+I99+I89+I79+I69+I59+I49+I39+I29+I19+I9</f>
        <v>3939985</v>
      </c>
      <c r="J252" s="44"/>
      <c r="K252" s="44">
        <f aca="true" t="shared" si="53" ref="K252:P253">K229+K219+K209+K199+K189+K179+K169+K159+K149+K139+K129+K119+K109+K99+K89+K79+K69+K59+K49+K39+K29+K19+K9</f>
        <v>3201923</v>
      </c>
      <c r="L252" s="44">
        <f t="shared" si="53"/>
        <v>5333316</v>
      </c>
      <c r="M252" s="44">
        <f t="shared" si="53"/>
        <v>793510</v>
      </c>
      <c r="N252" s="44">
        <f t="shared" si="53"/>
        <v>0</v>
      </c>
      <c r="O252" s="44">
        <f t="shared" si="53"/>
        <v>0</v>
      </c>
      <c r="P252" s="44">
        <f t="shared" si="53"/>
        <v>0</v>
      </c>
    </row>
    <row r="253" spans="6:16" ht="12.75" hidden="1">
      <c r="F253" t="s">
        <v>61</v>
      </c>
      <c r="H253" s="44">
        <f>H230+H220+H210+H200+H190+H180+H170+H160+H150+H140+H130+H120+H110+H100+H90+H80+H70+H60+H50+H40+H30+H20+H10</f>
        <v>8491613</v>
      </c>
      <c r="I253" s="44">
        <f>I230+I220+I210+I200+I190+I180+I170+I160+I150+I140+I130+I120+I110+I100+I90+I80+I70+I60+I50+I40+I30+I20+I10</f>
        <v>36225203</v>
      </c>
      <c r="J253" s="44"/>
      <c r="K253" s="44">
        <f t="shared" si="53"/>
        <v>109037406</v>
      </c>
      <c r="L253" s="44">
        <f t="shared" si="53"/>
        <v>134790090</v>
      </c>
      <c r="M253" s="44">
        <f t="shared" si="53"/>
        <v>15997165</v>
      </c>
      <c r="N253" s="44">
        <f t="shared" si="53"/>
        <v>58954</v>
      </c>
      <c r="O253" s="44">
        <f t="shared" si="53"/>
        <v>0</v>
      </c>
      <c r="P253" s="44">
        <f t="shared" si="53"/>
        <v>0</v>
      </c>
    </row>
    <row r="254" spans="7:18" ht="12.75" hidden="1">
      <c r="G254" s="46" t="s">
        <v>62</v>
      </c>
      <c r="H254" s="47">
        <f>H252+H253</f>
        <v>8800606</v>
      </c>
      <c r="I254" s="47">
        <f>I252+I253</f>
        <v>40165188</v>
      </c>
      <c r="J254" s="47"/>
      <c r="K254" s="47">
        <f aca="true" t="shared" si="54" ref="K254:P254">K252+K253</f>
        <v>112239329</v>
      </c>
      <c r="L254" s="47">
        <f t="shared" si="54"/>
        <v>140123406</v>
      </c>
      <c r="M254" s="47">
        <f t="shared" si="54"/>
        <v>16790675</v>
      </c>
      <c r="N254" s="44">
        <f t="shared" si="54"/>
        <v>58954</v>
      </c>
      <c r="O254" s="44">
        <f t="shared" si="54"/>
        <v>0</v>
      </c>
      <c r="P254" s="44">
        <f t="shared" si="54"/>
        <v>0</v>
      </c>
      <c r="R254" s="44"/>
    </row>
    <row r="255" ht="12.75" hidden="1"/>
    <row r="256" spans="6:16" ht="12.75" hidden="1">
      <c r="F256" t="s">
        <v>63</v>
      </c>
      <c r="H256" s="44">
        <f>H227+H217+H207+H197+H187+H177+H167+H157+H147+H137+H127+H117+H107+H97+H87+H77+H67+H57+H47+H37+H27+H17+H7</f>
        <v>0</v>
      </c>
      <c r="I256" s="44">
        <f>I227+I217+I207+I197+I187+I177+I167+I157+I147+I137+I127+I117+I107+I97+I87+I77+I67+I57+I47+I37+I27+I17+I7</f>
        <v>298805</v>
      </c>
      <c r="J256" s="44"/>
      <c r="K256" s="44">
        <f aca="true" t="shared" si="55" ref="K256:P257">K227+K217+K207+K197+K187+K177+K167+K157+K147+K137+K127+K117+K107+K97+K87+K77+K67+K57+K47+K37+K27+K17+K7</f>
        <v>56393</v>
      </c>
      <c r="L256" s="44">
        <f t="shared" si="55"/>
        <v>0</v>
      </c>
      <c r="M256" s="44">
        <f t="shared" si="55"/>
        <v>0</v>
      </c>
      <c r="N256" s="44">
        <f t="shared" si="55"/>
        <v>0</v>
      </c>
      <c r="O256" s="44">
        <f t="shared" si="55"/>
        <v>0</v>
      </c>
      <c r="P256" s="44">
        <f t="shared" si="55"/>
        <v>0</v>
      </c>
    </row>
    <row r="257" spans="6:16" ht="12.75" hidden="1">
      <c r="F257" t="s">
        <v>64</v>
      </c>
      <c r="G257" s="48"/>
      <c r="H257" s="44">
        <f>H228+H218+H208+H198+H188+H178+H168+H158+H148+H138+H128+H118+H108+H98+H88+H78+H68+H58+H48+H38+H28+H18+H8</f>
        <v>391057</v>
      </c>
      <c r="I257" s="44">
        <f>I228+I218+I208+I198+I188+I178+I168+I158+I148+I138+I128+I118+I108+I98+I88+I78+I68+I58+I48+I38+I28+I18+I8</f>
        <v>1507456</v>
      </c>
      <c r="J257" s="44"/>
      <c r="K257" s="44">
        <f t="shared" si="55"/>
        <v>4991837</v>
      </c>
      <c r="L257" s="44">
        <f t="shared" si="55"/>
        <v>5987150</v>
      </c>
      <c r="M257" s="44">
        <f t="shared" si="55"/>
        <v>0</v>
      </c>
      <c r="N257" s="44">
        <f t="shared" si="55"/>
        <v>0</v>
      </c>
      <c r="O257" s="44">
        <f t="shared" si="55"/>
        <v>0</v>
      </c>
      <c r="P257" s="44">
        <f t="shared" si="55"/>
        <v>0</v>
      </c>
    </row>
    <row r="258" spans="7:16" ht="12.75" hidden="1">
      <c r="G258" s="46" t="s">
        <v>65</v>
      </c>
      <c r="H258" s="47">
        <f>H256+H257</f>
        <v>391057</v>
      </c>
      <c r="I258" s="47">
        <f>I256+I257</f>
        <v>1806261</v>
      </c>
      <c r="J258" s="47"/>
      <c r="K258" s="47">
        <f aca="true" t="shared" si="56" ref="K258:P258">K256+K257</f>
        <v>5048230</v>
      </c>
      <c r="L258" s="47">
        <f t="shared" si="56"/>
        <v>5987150</v>
      </c>
      <c r="M258" s="47">
        <f t="shared" si="56"/>
        <v>0</v>
      </c>
      <c r="N258" s="47">
        <f t="shared" si="56"/>
        <v>0</v>
      </c>
      <c r="O258" s="47">
        <f t="shared" si="56"/>
        <v>0</v>
      </c>
      <c r="P258" s="47">
        <f t="shared" si="56"/>
        <v>0</v>
      </c>
    </row>
    <row r="259" ht="12.75" hidden="1"/>
    <row r="260" ht="12.75" hidden="1"/>
    <row r="261" spans="6:16" ht="12.75" hidden="1">
      <c r="F261" s="46" t="s">
        <v>66</v>
      </c>
      <c r="G261" s="47"/>
      <c r="H261" s="47">
        <f>H250+H254+H258</f>
        <v>20276746</v>
      </c>
      <c r="I261" s="47">
        <f>I250+I254+I258</f>
        <v>79440613</v>
      </c>
      <c r="J261" s="47"/>
      <c r="K261" s="47">
        <f aca="true" t="shared" si="57" ref="K261:P261">K250+K254+K258</f>
        <v>163123632</v>
      </c>
      <c r="L261" s="47">
        <f t="shared" si="57"/>
        <v>201710481</v>
      </c>
      <c r="M261" s="47">
        <f t="shared" si="57"/>
        <v>20986164</v>
      </c>
      <c r="N261" s="47">
        <f t="shared" si="57"/>
        <v>69358</v>
      </c>
      <c r="O261" s="47">
        <f t="shared" si="57"/>
        <v>0</v>
      </c>
      <c r="P261" s="47">
        <f t="shared" si="57"/>
        <v>0</v>
      </c>
    </row>
    <row r="262" spans="12:13" ht="12.75" hidden="1">
      <c r="L262" s="44"/>
      <c r="M262" s="44"/>
    </row>
    <row r="263" spans="8:14" ht="12.75" hidden="1">
      <c r="H263" s="44"/>
      <c r="I263" s="44"/>
      <c r="J263" s="44"/>
      <c r="K263" s="44"/>
      <c r="L263" s="44"/>
      <c r="M263" s="44"/>
      <c r="N263" s="44"/>
    </row>
    <row r="264" spans="4:7" ht="12.75" hidden="1">
      <c r="D264" s="45"/>
      <c r="G264" s="44">
        <f>H261+I261+K261+L261+M261+N261</f>
        <v>485606994</v>
      </c>
    </row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</sheetData>
  <mergeCells count="242">
    <mergeCell ref="D35:D44"/>
    <mergeCell ref="E35:E39"/>
    <mergeCell ref="T35:T44"/>
    <mergeCell ref="F36:F37"/>
    <mergeCell ref="F39:F40"/>
    <mergeCell ref="E40:E44"/>
    <mergeCell ref="F42:F44"/>
    <mergeCell ref="D25:D34"/>
    <mergeCell ref="E25:E29"/>
    <mergeCell ref="T25:T34"/>
    <mergeCell ref="F26:F27"/>
    <mergeCell ref="F29:F30"/>
    <mergeCell ref="E30:E34"/>
    <mergeCell ref="F32:F34"/>
    <mergeCell ref="C65:C74"/>
    <mergeCell ref="B65:B74"/>
    <mergeCell ref="A25:A34"/>
    <mergeCell ref="B25:B34"/>
    <mergeCell ref="C25:C34"/>
    <mergeCell ref="A35:A44"/>
    <mergeCell ref="B35:B44"/>
    <mergeCell ref="C35:C44"/>
    <mergeCell ref="A55:A64"/>
    <mergeCell ref="B55:B64"/>
    <mergeCell ref="T215:T224"/>
    <mergeCell ref="F216:F217"/>
    <mergeCell ref="A65:A74"/>
    <mergeCell ref="F66:F67"/>
    <mergeCell ref="T65:T74"/>
    <mergeCell ref="E65:E69"/>
    <mergeCell ref="D65:D74"/>
    <mergeCell ref="E70:E74"/>
    <mergeCell ref="F72:F74"/>
    <mergeCell ref="F69:F70"/>
    <mergeCell ref="E225:E229"/>
    <mergeCell ref="T225:T234"/>
    <mergeCell ref="F226:F227"/>
    <mergeCell ref="F229:F230"/>
    <mergeCell ref="E230:E234"/>
    <mergeCell ref="F232:F234"/>
    <mergeCell ref="A225:A234"/>
    <mergeCell ref="B225:B234"/>
    <mergeCell ref="C225:C234"/>
    <mergeCell ref="D225:D234"/>
    <mergeCell ref="F219:F220"/>
    <mergeCell ref="E220:E224"/>
    <mergeCell ref="F222:F224"/>
    <mergeCell ref="A215:A224"/>
    <mergeCell ref="B215:B224"/>
    <mergeCell ref="C215:C224"/>
    <mergeCell ref="D215:D224"/>
    <mergeCell ref="E215:E219"/>
    <mergeCell ref="E205:E209"/>
    <mergeCell ref="T205:T214"/>
    <mergeCell ref="F206:F207"/>
    <mergeCell ref="F209:F210"/>
    <mergeCell ref="E210:E214"/>
    <mergeCell ref="F212:F214"/>
    <mergeCell ref="A205:A214"/>
    <mergeCell ref="B205:B214"/>
    <mergeCell ref="C205:C214"/>
    <mergeCell ref="D205:D214"/>
    <mergeCell ref="E195:E199"/>
    <mergeCell ref="T195:T204"/>
    <mergeCell ref="F196:F197"/>
    <mergeCell ref="F199:F200"/>
    <mergeCell ref="E200:E204"/>
    <mergeCell ref="F202:F204"/>
    <mergeCell ref="A195:A204"/>
    <mergeCell ref="B195:B204"/>
    <mergeCell ref="C195:C204"/>
    <mergeCell ref="D195:D204"/>
    <mergeCell ref="E185:E189"/>
    <mergeCell ref="T185:T194"/>
    <mergeCell ref="F186:F187"/>
    <mergeCell ref="F189:F190"/>
    <mergeCell ref="E190:E194"/>
    <mergeCell ref="F192:F194"/>
    <mergeCell ref="A185:A194"/>
    <mergeCell ref="B185:B194"/>
    <mergeCell ref="C185:C194"/>
    <mergeCell ref="D185:D194"/>
    <mergeCell ref="E15:E19"/>
    <mergeCell ref="T15:T24"/>
    <mergeCell ref="F16:F17"/>
    <mergeCell ref="F19:F20"/>
    <mergeCell ref="E20:E24"/>
    <mergeCell ref="F22:F24"/>
    <mergeCell ref="A15:A24"/>
    <mergeCell ref="B15:B24"/>
    <mergeCell ref="C15:C24"/>
    <mergeCell ref="D15:D24"/>
    <mergeCell ref="E55:E59"/>
    <mergeCell ref="T55:T64"/>
    <mergeCell ref="F56:F57"/>
    <mergeCell ref="F59:F60"/>
    <mergeCell ref="E60:E64"/>
    <mergeCell ref="F62:F64"/>
    <mergeCell ref="C55:C64"/>
    <mergeCell ref="D55:D64"/>
    <mergeCell ref="E175:E179"/>
    <mergeCell ref="T175:T184"/>
    <mergeCell ref="F176:F177"/>
    <mergeCell ref="F179:F180"/>
    <mergeCell ref="E180:E184"/>
    <mergeCell ref="F182:F184"/>
    <mergeCell ref="E165:E169"/>
    <mergeCell ref="T165:T174"/>
    <mergeCell ref="A175:A184"/>
    <mergeCell ref="B175:B184"/>
    <mergeCell ref="C175:C184"/>
    <mergeCell ref="D175:D184"/>
    <mergeCell ref="F166:F167"/>
    <mergeCell ref="F169:F170"/>
    <mergeCell ref="E170:E174"/>
    <mergeCell ref="F172:F174"/>
    <mergeCell ref="A165:A174"/>
    <mergeCell ref="B165:B174"/>
    <mergeCell ref="C165:C174"/>
    <mergeCell ref="D165:D174"/>
    <mergeCell ref="E45:E49"/>
    <mergeCell ref="T45:T54"/>
    <mergeCell ref="F46:F47"/>
    <mergeCell ref="F49:F50"/>
    <mergeCell ref="E50:E54"/>
    <mergeCell ref="F52:F54"/>
    <mergeCell ref="A45:A54"/>
    <mergeCell ref="B45:B54"/>
    <mergeCell ref="C45:C54"/>
    <mergeCell ref="D45:D54"/>
    <mergeCell ref="E155:E159"/>
    <mergeCell ref="T155:T164"/>
    <mergeCell ref="F156:F157"/>
    <mergeCell ref="F159:F160"/>
    <mergeCell ref="E160:E164"/>
    <mergeCell ref="F162:F164"/>
    <mergeCell ref="A155:A164"/>
    <mergeCell ref="B155:B164"/>
    <mergeCell ref="C155:C164"/>
    <mergeCell ref="D155:D164"/>
    <mergeCell ref="E145:E149"/>
    <mergeCell ref="T145:T154"/>
    <mergeCell ref="F146:F147"/>
    <mergeCell ref="F149:F150"/>
    <mergeCell ref="E150:E154"/>
    <mergeCell ref="F152:F154"/>
    <mergeCell ref="A145:A154"/>
    <mergeCell ref="B145:B154"/>
    <mergeCell ref="C145:C154"/>
    <mergeCell ref="D145:D154"/>
    <mergeCell ref="E85:E89"/>
    <mergeCell ref="T85:T94"/>
    <mergeCell ref="F86:F87"/>
    <mergeCell ref="F89:F90"/>
    <mergeCell ref="E90:E94"/>
    <mergeCell ref="F92:F94"/>
    <mergeCell ref="A85:A94"/>
    <mergeCell ref="B85:B94"/>
    <mergeCell ref="C85:C94"/>
    <mergeCell ref="D85:D94"/>
    <mergeCell ref="E135:E139"/>
    <mergeCell ref="T135:T144"/>
    <mergeCell ref="F136:F137"/>
    <mergeCell ref="F139:F140"/>
    <mergeCell ref="E140:E144"/>
    <mergeCell ref="F142:F144"/>
    <mergeCell ref="A135:A144"/>
    <mergeCell ref="B135:B144"/>
    <mergeCell ref="C135:C144"/>
    <mergeCell ref="D135:D144"/>
    <mergeCell ref="E5:E9"/>
    <mergeCell ref="T5:T14"/>
    <mergeCell ref="F6:F7"/>
    <mergeCell ref="F9:F10"/>
    <mergeCell ref="E10:E14"/>
    <mergeCell ref="F12:F14"/>
    <mergeCell ref="E125:E129"/>
    <mergeCell ref="T125:T134"/>
    <mergeCell ref="F126:F127"/>
    <mergeCell ref="F129:F130"/>
    <mergeCell ref="E130:E134"/>
    <mergeCell ref="F132:F134"/>
    <mergeCell ref="A125:A134"/>
    <mergeCell ref="B125:B134"/>
    <mergeCell ref="C125:C134"/>
    <mergeCell ref="D125:D134"/>
    <mergeCell ref="E115:E119"/>
    <mergeCell ref="T115:T124"/>
    <mergeCell ref="F116:F117"/>
    <mergeCell ref="F119:F120"/>
    <mergeCell ref="E120:E124"/>
    <mergeCell ref="F122:F124"/>
    <mergeCell ref="A115:A124"/>
    <mergeCell ref="B115:B124"/>
    <mergeCell ref="C115:C124"/>
    <mergeCell ref="D115:D124"/>
    <mergeCell ref="E105:E109"/>
    <mergeCell ref="T105:T114"/>
    <mergeCell ref="F106:F107"/>
    <mergeCell ref="F109:F110"/>
    <mergeCell ref="E110:E114"/>
    <mergeCell ref="F112:F114"/>
    <mergeCell ref="A105:A114"/>
    <mergeCell ref="B105:B114"/>
    <mergeCell ref="C105:C114"/>
    <mergeCell ref="D105:D114"/>
    <mergeCell ref="E95:E99"/>
    <mergeCell ref="T95:T104"/>
    <mergeCell ref="F96:F97"/>
    <mergeCell ref="F99:F100"/>
    <mergeCell ref="E100:E104"/>
    <mergeCell ref="F102:F104"/>
    <mergeCell ref="A95:A104"/>
    <mergeCell ref="B95:B104"/>
    <mergeCell ref="C95:C104"/>
    <mergeCell ref="D95:D104"/>
    <mergeCell ref="T75:T84"/>
    <mergeCell ref="F76:F77"/>
    <mergeCell ref="F79:F80"/>
    <mergeCell ref="E80:E84"/>
    <mergeCell ref="F82:F84"/>
    <mergeCell ref="E75:E79"/>
    <mergeCell ref="K3:S3"/>
    <mergeCell ref="J3:J4"/>
    <mergeCell ref="A75:A84"/>
    <mergeCell ref="B75:B84"/>
    <mergeCell ref="C75:C84"/>
    <mergeCell ref="D75:D84"/>
    <mergeCell ref="A5:A14"/>
    <mergeCell ref="B5:B14"/>
    <mergeCell ref="C5:C14"/>
    <mergeCell ref="D5:D14"/>
    <mergeCell ref="A2:T2"/>
    <mergeCell ref="A3:A4"/>
    <mergeCell ref="B3:B4"/>
    <mergeCell ref="C3:C4"/>
    <mergeCell ref="D3:D4"/>
    <mergeCell ref="T3:T4"/>
    <mergeCell ref="E3:E4"/>
    <mergeCell ref="F3:F4"/>
    <mergeCell ref="G3:G4"/>
    <mergeCell ref="H3:H4"/>
  </mergeCells>
  <printOptions/>
  <pageMargins left="0.2" right="0.22" top="0.87" bottom="0.35" header="0.17" footer="0.16"/>
  <pageSetup horizontalDpi="600" verticalDpi="600" orientation="landscape" paperSize="9" r:id="rId1"/>
  <rowBreaks count="7" manualBreakCount="7">
    <brk id="34" max="255" man="1"/>
    <brk id="64" max="255" man="1"/>
    <brk id="94" max="255" man="1"/>
    <brk id="124" max="255" man="1"/>
    <brk id="154" max="255" man="1"/>
    <brk id="184" max="255" man="1"/>
    <brk id="2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523"/>
  <sheetViews>
    <sheetView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10.140625" style="2" customWidth="1"/>
    <col min="4" max="4" width="13.8515625" style="2" customWidth="1"/>
    <col min="5" max="5" width="9.140625" style="2" customWidth="1"/>
    <col min="6" max="6" width="10.421875" style="0" customWidth="1"/>
    <col min="7" max="7" width="14.28125" style="0" customWidth="1"/>
    <col min="8" max="8" width="9.57421875" style="0" customWidth="1"/>
    <col min="9" max="9" width="8.140625" style="0" customWidth="1"/>
    <col min="10" max="10" width="7.8515625" style="0" customWidth="1"/>
    <col min="11" max="11" width="9.00390625" style="0" customWidth="1"/>
    <col min="12" max="13" width="8.28125" style="0" customWidth="1"/>
    <col min="14" max="14" width="0" style="0" hidden="1" customWidth="1"/>
    <col min="15" max="39" width="9.140625" style="0" hidden="1" customWidth="1"/>
    <col min="40" max="40" width="10.28125" style="0" customWidth="1"/>
  </cols>
  <sheetData>
    <row r="1" spans="1:40" ht="12.75">
      <c r="A1" s="1"/>
      <c r="AN1" s="3" t="s">
        <v>167</v>
      </c>
    </row>
    <row r="2" spans="1:40" ht="59.25" customHeight="1" thickBot="1">
      <c r="A2" s="811" t="s">
        <v>121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  <c r="AF2" s="811"/>
      <c r="AG2" s="811"/>
      <c r="AH2" s="811"/>
      <c r="AI2" s="811"/>
      <c r="AJ2" s="811"/>
      <c r="AK2" s="811"/>
      <c r="AL2" s="811"/>
      <c r="AM2" s="811"/>
      <c r="AN2" s="811"/>
    </row>
    <row r="3" spans="1:40" ht="22.5" customHeight="1" thickBot="1">
      <c r="A3" s="812" t="s">
        <v>70</v>
      </c>
      <c r="B3" s="810" t="s">
        <v>3</v>
      </c>
      <c r="C3" s="756" t="s">
        <v>4</v>
      </c>
      <c r="D3" s="756" t="s">
        <v>5</v>
      </c>
      <c r="E3" s="756" t="s">
        <v>6</v>
      </c>
      <c r="F3" s="810" t="s">
        <v>7</v>
      </c>
      <c r="G3" s="810" t="s">
        <v>8</v>
      </c>
      <c r="H3" s="758" t="s">
        <v>9</v>
      </c>
      <c r="I3" s="760" t="s">
        <v>10</v>
      </c>
      <c r="J3" s="815"/>
      <c r="K3" s="815"/>
      <c r="L3" s="815"/>
      <c r="M3" s="815"/>
      <c r="N3" s="815"/>
      <c r="O3" s="815"/>
      <c r="P3" s="815"/>
      <c r="Q3" s="815"/>
      <c r="R3" s="815"/>
      <c r="S3" s="815"/>
      <c r="T3" s="815"/>
      <c r="U3" s="815"/>
      <c r="V3" s="815"/>
      <c r="W3" s="815"/>
      <c r="X3" s="815"/>
      <c r="Y3" s="815"/>
      <c r="Z3" s="815"/>
      <c r="AA3" s="815"/>
      <c r="AB3" s="815"/>
      <c r="AC3" s="815"/>
      <c r="AD3" s="815"/>
      <c r="AE3" s="815"/>
      <c r="AF3" s="815"/>
      <c r="AG3" s="815"/>
      <c r="AH3" s="815"/>
      <c r="AI3" s="815"/>
      <c r="AJ3" s="815"/>
      <c r="AK3" s="815"/>
      <c r="AL3" s="815"/>
      <c r="AM3" s="815"/>
      <c r="AN3" s="810" t="s">
        <v>11</v>
      </c>
    </row>
    <row r="4" spans="1:40" ht="13.5" thickBot="1">
      <c r="A4" s="813"/>
      <c r="B4" s="814"/>
      <c r="C4" s="755"/>
      <c r="D4" s="755"/>
      <c r="E4" s="755"/>
      <c r="F4" s="813"/>
      <c r="G4" s="814"/>
      <c r="H4" s="759"/>
      <c r="I4" s="5">
        <v>2011</v>
      </c>
      <c r="J4" s="6">
        <v>2012</v>
      </c>
      <c r="K4" s="6">
        <v>2013</v>
      </c>
      <c r="L4" s="6">
        <v>2014</v>
      </c>
      <c r="M4" s="6">
        <v>2015</v>
      </c>
      <c r="N4" s="6">
        <v>2016</v>
      </c>
      <c r="O4" s="6">
        <v>2017</v>
      </c>
      <c r="P4" s="6">
        <v>2018</v>
      </c>
      <c r="Q4" s="111">
        <v>2019</v>
      </c>
      <c r="R4" s="111">
        <v>2020</v>
      </c>
      <c r="S4" s="111">
        <v>2021</v>
      </c>
      <c r="T4" s="111">
        <v>2022</v>
      </c>
      <c r="U4" s="111">
        <v>2023</v>
      </c>
      <c r="V4" s="111">
        <v>2024</v>
      </c>
      <c r="W4" s="111">
        <v>2025</v>
      </c>
      <c r="X4" s="111">
        <v>2026</v>
      </c>
      <c r="Y4" s="111">
        <v>2027</v>
      </c>
      <c r="Z4" s="111">
        <v>2028</v>
      </c>
      <c r="AA4" s="111">
        <v>2029</v>
      </c>
      <c r="AB4" s="111">
        <v>2030</v>
      </c>
      <c r="AC4" s="112">
        <v>2031</v>
      </c>
      <c r="AD4" s="112">
        <v>2032</v>
      </c>
      <c r="AE4" s="112">
        <v>2033</v>
      </c>
      <c r="AF4" s="112">
        <v>2034</v>
      </c>
      <c r="AG4" s="112">
        <v>2035</v>
      </c>
      <c r="AH4" s="112">
        <v>2036</v>
      </c>
      <c r="AI4" s="112">
        <v>2036</v>
      </c>
      <c r="AJ4" s="112">
        <v>2037</v>
      </c>
      <c r="AK4" s="112">
        <v>2038</v>
      </c>
      <c r="AL4" s="112">
        <v>2039</v>
      </c>
      <c r="AM4" s="112">
        <v>2040</v>
      </c>
      <c r="AN4" s="810"/>
    </row>
    <row r="5" spans="1:40" ht="12.75">
      <c r="A5" s="773">
        <v>1</v>
      </c>
      <c r="B5" s="752" t="s">
        <v>122</v>
      </c>
      <c r="C5" s="804">
        <v>40002</v>
      </c>
      <c r="D5" s="783" t="s">
        <v>164</v>
      </c>
      <c r="E5" s="775">
        <v>2011</v>
      </c>
      <c r="F5" s="8" t="s">
        <v>14</v>
      </c>
      <c r="G5" s="32" t="s">
        <v>123</v>
      </c>
      <c r="H5" s="33"/>
      <c r="I5" s="113"/>
      <c r="J5" s="12"/>
      <c r="K5" s="12"/>
      <c r="L5" s="12"/>
      <c r="M5" s="12"/>
      <c r="N5" s="12"/>
      <c r="O5" s="12"/>
      <c r="P5" s="1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803">
        <f>SUM(J12:AM12)</f>
        <v>3000000</v>
      </c>
    </row>
    <row r="6" spans="1:40" ht="12.75">
      <c r="A6" s="774"/>
      <c r="B6" s="737"/>
      <c r="C6" s="782"/>
      <c r="D6" s="784"/>
      <c r="E6" s="776"/>
      <c r="F6" s="746">
        <f>SUM(H11:AM11)</f>
        <v>0</v>
      </c>
      <c r="G6" s="15" t="s">
        <v>124</v>
      </c>
      <c r="H6" s="16"/>
      <c r="I6" s="114">
        <v>5000000</v>
      </c>
      <c r="J6" s="18">
        <v>3000000</v>
      </c>
      <c r="K6" s="18"/>
      <c r="L6" s="18"/>
      <c r="M6" s="18"/>
      <c r="N6" s="18"/>
      <c r="O6" s="18"/>
      <c r="P6" s="18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779"/>
    </row>
    <row r="7" spans="1:40" ht="12.75">
      <c r="A7" s="774"/>
      <c r="B7" s="737"/>
      <c r="C7" s="782"/>
      <c r="D7" s="784"/>
      <c r="E7" s="776"/>
      <c r="F7" s="781"/>
      <c r="G7" s="15" t="s">
        <v>17</v>
      </c>
      <c r="H7" s="16"/>
      <c r="I7" s="114"/>
      <c r="J7" s="18"/>
      <c r="K7" s="18"/>
      <c r="L7" s="18"/>
      <c r="M7" s="18"/>
      <c r="N7" s="18"/>
      <c r="O7" s="18"/>
      <c r="P7" s="18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779"/>
    </row>
    <row r="8" spans="1:40" ht="12.75">
      <c r="A8" s="774"/>
      <c r="B8" s="737"/>
      <c r="C8" s="782"/>
      <c r="D8" s="784"/>
      <c r="E8" s="727"/>
      <c r="F8" s="21" t="s">
        <v>18</v>
      </c>
      <c r="G8" s="15" t="s">
        <v>19</v>
      </c>
      <c r="H8" s="16"/>
      <c r="I8" s="114"/>
      <c r="J8" s="18"/>
      <c r="K8" s="18"/>
      <c r="L8" s="18"/>
      <c r="M8" s="18"/>
      <c r="N8" s="18"/>
      <c r="O8" s="18"/>
      <c r="P8" s="18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779"/>
    </row>
    <row r="9" spans="1:40" ht="12.75">
      <c r="A9" s="774"/>
      <c r="B9" s="737"/>
      <c r="C9" s="782"/>
      <c r="D9" s="784"/>
      <c r="E9" s="723">
        <v>2012</v>
      </c>
      <c r="F9" s="746">
        <f>SUM(H12:AM12)</f>
        <v>8000000</v>
      </c>
      <c r="G9" s="15" t="s">
        <v>23</v>
      </c>
      <c r="H9" s="16"/>
      <c r="I9" s="114"/>
      <c r="J9" s="18"/>
      <c r="K9" s="18"/>
      <c r="L9" s="18"/>
      <c r="M9" s="18"/>
      <c r="N9" s="18"/>
      <c r="O9" s="18"/>
      <c r="P9" s="18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779"/>
    </row>
    <row r="10" spans="1:40" ht="12.75">
      <c r="A10" s="774"/>
      <c r="B10" s="737"/>
      <c r="C10" s="782"/>
      <c r="D10" s="784"/>
      <c r="E10" s="776"/>
      <c r="F10" s="781"/>
      <c r="G10" s="15" t="s">
        <v>24</v>
      </c>
      <c r="H10" s="16"/>
      <c r="I10" s="114"/>
      <c r="J10" s="18"/>
      <c r="K10" s="18"/>
      <c r="L10" s="18"/>
      <c r="M10" s="18"/>
      <c r="N10" s="18"/>
      <c r="O10" s="18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779"/>
    </row>
    <row r="11" spans="1:40" ht="12.75">
      <c r="A11" s="774"/>
      <c r="B11" s="737"/>
      <c r="C11" s="782"/>
      <c r="D11" s="784"/>
      <c r="E11" s="776"/>
      <c r="F11" s="21" t="s">
        <v>22</v>
      </c>
      <c r="G11" s="15" t="s">
        <v>25</v>
      </c>
      <c r="H11" s="22">
        <f aca="true" t="shared" si="0" ref="H11:AM11">H5+H7+H9</f>
        <v>0</v>
      </c>
      <c r="I11" s="115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0"/>
        <v>0</v>
      </c>
      <c r="R11" s="24">
        <f t="shared" si="0"/>
        <v>0</v>
      </c>
      <c r="S11" s="24">
        <f t="shared" si="0"/>
        <v>0</v>
      </c>
      <c r="T11" s="24">
        <f t="shared" si="0"/>
        <v>0</v>
      </c>
      <c r="U11" s="24">
        <f t="shared" si="0"/>
        <v>0</v>
      </c>
      <c r="V11" s="24">
        <f t="shared" si="0"/>
        <v>0</v>
      </c>
      <c r="W11" s="24">
        <f t="shared" si="0"/>
        <v>0</v>
      </c>
      <c r="X11" s="24">
        <f t="shared" si="0"/>
        <v>0</v>
      </c>
      <c r="Y11" s="24">
        <f t="shared" si="0"/>
        <v>0</v>
      </c>
      <c r="Z11" s="24">
        <f t="shared" si="0"/>
        <v>0</v>
      </c>
      <c r="AA11" s="24">
        <f t="shared" si="0"/>
        <v>0</v>
      </c>
      <c r="AB11" s="24">
        <f t="shared" si="0"/>
        <v>0</v>
      </c>
      <c r="AC11" s="24">
        <f t="shared" si="0"/>
        <v>0</v>
      </c>
      <c r="AD11" s="24">
        <f t="shared" si="0"/>
        <v>0</v>
      </c>
      <c r="AE11" s="24">
        <f t="shared" si="0"/>
        <v>0</v>
      </c>
      <c r="AF11" s="24">
        <f t="shared" si="0"/>
        <v>0</v>
      </c>
      <c r="AG11" s="24">
        <f t="shared" si="0"/>
        <v>0</v>
      </c>
      <c r="AH11" s="24">
        <f t="shared" si="0"/>
        <v>0</v>
      </c>
      <c r="AI11" s="24">
        <f t="shared" si="0"/>
        <v>0</v>
      </c>
      <c r="AJ11" s="24">
        <f t="shared" si="0"/>
        <v>0</v>
      </c>
      <c r="AK11" s="24">
        <f t="shared" si="0"/>
        <v>0</v>
      </c>
      <c r="AL11" s="24">
        <f t="shared" si="0"/>
        <v>0</v>
      </c>
      <c r="AM11" s="25">
        <f t="shared" si="0"/>
        <v>0</v>
      </c>
      <c r="AN11" s="779"/>
    </row>
    <row r="12" spans="1:40" ht="13.5" thickBot="1">
      <c r="A12" s="774"/>
      <c r="B12" s="737"/>
      <c r="C12" s="782"/>
      <c r="D12" s="784"/>
      <c r="E12" s="776"/>
      <c r="F12" s="116">
        <f>F6+F9</f>
        <v>8000000</v>
      </c>
      <c r="G12" s="26" t="s">
        <v>26</v>
      </c>
      <c r="H12" s="37">
        <f aca="true" t="shared" si="1" ref="H12:AM12">H6+H8+H10</f>
        <v>0</v>
      </c>
      <c r="I12" s="117">
        <f t="shared" si="1"/>
        <v>5000000</v>
      </c>
      <c r="J12" s="30">
        <f t="shared" si="1"/>
        <v>3000000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0">
        <f t="shared" si="1"/>
        <v>0</v>
      </c>
      <c r="Q12" s="30">
        <f t="shared" si="1"/>
        <v>0</v>
      </c>
      <c r="R12" s="30">
        <f t="shared" si="1"/>
        <v>0</v>
      </c>
      <c r="S12" s="30">
        <f t="shared" si="1"/>
        <v>0</v>
      </c>
      <c r="T12" s="30">
        <f t="shared" si="1"/>
        <v>0</v>
      </c>
      <c r="U12" s="30">
        <f t="shared" si="1"/>
        <v>0</v>
      </c>
      <c r="V12" s="30">
        <f t="shared" si="1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0">
        <f t="shared" si="1"/>
        <v>0</v>
      </c>
      <c r="AD12" s="30">
        <f t="shared" si="1"/>
        <v>0</v>
      </c>
      <c r="AE12" s="30">
        <f t="shared" si="1"/>
        <v>0</v>
      </c>
      <c r="AF12" s="30">
        <f t="shared" si="1"/>
        <v>0</v>
      </c>
      <c r="AG12" s="30">
        <f t="shared" si="1"/>
        <v>0</v>
      </c>
      <c r="AH12" s="30">
        <f t="shared" si="1"/>
        <v>0</v>
      </c>
      <c r="AI12" s="30">
        <f t="shared" si="1"/>
        <v>0</v>
      </c>
      <c r="AJ12" s="30">
        <f t="shared" si="1"/>
        <v>0</v>
      </c>
      <c r="AK12" s="30">
        <f t="shared" si="1"/>
        <v>0</v>
      </c>
      <c r="AL12" s="30">
        <f t="shared" si="1"/>
        <v>0</v>
      </c>
      <c r="AM12" s="31">
        <f t="shared" si="1"/>
        <v>0</v>
      </c>
      <c r="AN12" s="780"/>
    </row>
    <row r="13" spans="1:40" ht="12.75">
      <c r="A13" s="773">
        <v>2</v>
      </c>
      <c r="B13" s="752" t="s">
        <v>125</v>
      </c>
      <c r="C13" s="804">
        <v>60004</v>
      </c>
      <c r="D13" s="783" t="s">
        <v>164</v>
      </c>
      <c r="E13" s="775"/>
      <c r="F13" s="8" t="s">
        <v>14</v>
      </c>
      <c r="G13" s="32" t="s">
        <v>15</v>
      </c>
      <c r="H13" s="33"/>
      <c r="I13" s="118"/>
      <c r="J13" s="34"/>
      <c r="K13" s="34"/>
      <c r="L13" s="34"/>
      <c r="M13" s="34"/>
      <c r="N13" s="34"/>
      <c r="O13" s="34"/>
      <c r="P13" s="34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803">
        <f>SUM(J20:AM20)</f>
        <v>0</v>
      </c>
    </row>
    <row r="14" spans="1:40" ht="12.75">
      <c r="A14" s="774"/>
      <c r="B14" s="737"/>
      <c r="C14" s="782"/>
      <c r="D14" s="784"/>
      <c r="E14" s="776"/>
      <c r="F14" s="746">
        <f>SUM(H19:AM19)</f>
        <v>0</v>
      </c>
      <c r="G14" s="15" t="s">
        <v>16</v>
      </c>
      <c r="H14" s="16"/>
      <c r="I14" s="114">
        <v>945000</v>
      </c>
      <c r="J14" s="18"/>
      <c r="K14" s="18"/>
      <c r="L14" s="18"/>
      <c r="M14" s="18"/>
      <c r="N14" s="18"/>
      <c r="O14" s="18"/>
      <c r="P14" s="18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779"/>
    </row>
    <row r="15" spans="1:40" ht="12.75">
      <c r="A15" s="774"/>
      <c r="B15" s="737"/>
      <c r="C15" s="782"/>
      <c r="D15" s="784"/>
      <c r="E15" s="776"/>
      <c r="F15" s="781"/>
      <c r="G15" s="15" t="s">
        <v>17</v>
      </c>
      <c r="H15" s="16"/>
      <c r="I15" s="114"/>
      <c r="J15" s="18"/>
      <c r="K15" s="18"/>
      <c r="L15" s="18"/>
      <c r="M15" s="18"/>
      <c r="N15" s="18"/>
      <c r="O15" s="18"/>
      <c r="P15" s="18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779"/>
    </row>
    <row r="16" spans="1:40" ht="12.75">
      <c r="A16" s="774"/>
      <c r="B16" s="737"/>
      <c r="C16" s="782"/>
      <c r="D16" s="784"/>
      <c r="E16" s="727"/>
      <c r="F16" s="21" t="s">
        <v>18</v>
      </c>
      <c r="G16" s="15" t="s">
        <v>19</v>
      </c>
      <c r="H16" s="16"/>
      <c r="I16" s="114"/>
      <c r="J16" s="18"/>
      <c r="K16" s="18"/>
      <c r="L16" s="18"/>
      <c r="M16" s="18"/>
      <c r="N16" s="18"/>
      <c r="O16" s="18"/>
      <c r="P16" s="18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779"/>
    </row>
    <row r="17" spans="1:40" ht="12.75">
      <c r="A17" s="774"/>
      <c r="B17" s="737"/>
      <c r="C17" s="782"/>
      <c r="D17" s="784"/>
      <c r="E17" s="723"/>
      <c r="F17" s="746">
        <f>SUM(H20:AM20)</f>
        <v>945000</v>
      </c>
      <c r="G17" s="15" t="s">
        <v>23</v>
      </c>
      <c r="H17" s="16"/>
      <c r="I17" s="114"/>
      <c r="J17" s="18"/>
      <c r="K17" s="18"/>
      <c r="L17" s="18"/>
      <c r="M17" s="18"/>
      <c r="N17" s="18"/>
      <c r="O17" s="18"/>
      <c r="P17" s="18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779"/>
    </row>
    <row r="18" spans="1:40" ht="12.75">
      <c r="A18" s="774"/>
      <c r="B18" s="737"/>
      <c r="C18" s="782"/>
      <c r="D18" s="784"/>
      <c r="E18" s="776"/>
      <c r="F18" s="781"/>
      <c r="G18" s="15" t="s">
        <v>24</v>
      </c>
      <c r="H18" s="16"/>
      <c r="I18" s="114"/>
      <c r="J18" s="18"/>
      <c r="K18" s="18"/>
      <c r="L18" s="18"/>
      <c r="M18" s="18"/>
      <c r="N18" s="18"/>
      <c r="O18" s="18"/>
      <c r="P18" s="18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779"/>
    </row>
    <row r="19" spans="1:40" ht="12.75">
      <c r="A19" s="774"/>
      <c r="B19" s="737"/>
      <c r="C19" s="782"/>
      <c r="D19" s="784"/>
      <c r="E19" s="776"/>
      <c r="F19" s="21" t="s">
        <v>22</v>
      </c>
      <c r="G19" s="15" t="s">
        <v>25</v>
      </c>
      <c r="H19" s="22">
        <f aca="true" t="shared" si="2" ref="H19:AM19">H13+H15+H17</f>
        <v>0</v>
      </c>
      <c r="I19" s="115">
        <f t="shared" si="2"/>
        <v>0</v>
      </c>
      <c r="J19" s="24">
        <f t="shared" si="2"/>
        <v>0</v>
      </c>
      <c r="K19" s="24">
        <f t="shared" si="2"/>
        <v>0</v>
      </c>
      <c r="L19" s="24">
        <f t="shared" si="2"/>
        <v>0</v>
      </c>
      <c r="M19" s="24">
        <f t="shared" si="2"/>
        <v>0</v>
      </c>
      <c r="N19" s="24">
        <f t="shared" si="2"/>
        <v>0</v>
      </c>
      <c r="O19" s="24">
        <f t="shared" si="2"/>
        <v>0</v>
      </c>
      <c r="P19" s="24">
        <f t="shared" si="2"/>
        <v>0</v>
      </c>
      <c r="Q19" s="24">
        <f t="shared" si="2"/>
        <v>0</v>
      </c>
      <c r="R19" s="24">
        <f t="shared" si="2"/>
        <v>0</v>
      </c>
      <c r="S19" s="24">
        <f t="shared" si="2"/>
        <v>0</v>
      </c>
      <c r="T19" s="24">
        <f t="shared" si="2"/>
        <v>0</v>
      </c>
      <c r="U19" s="24">
        <f t="shared" si="2"/>
        <v>0</v>
      </c>
      <c r="V19" s="24">
        <f t="shared" si="2"/>
        <v>0</v>
      </c>
      <c r="W19" s="24">
        <f t="shared" si="2"/>
        <v>0</v>
      </c>
      <c r="X19" s="24">
        <f t="shared" si="2"/>
        <v>0</v>
      </c>
      <c r="Y19" s="24">
        <f t="shared" si="2"/>
        <v>0</v>
      </c>
      <c r="Z19" s="24">
        <f t="shared" si="2"/>
        <v>0</v>
      </c>
      <c r="AA19" s="24">
        <f t="shared" si="2"/>
        <v>0</v>
      </c>
      <c r="AB19" s="24">
        <f t="shared" si="2"/>
        <v>0</v>
      </c>
      <c r="AC19" s="24">
        <f t="shared" si="2"/>
        <v>0</v>
      </c>
      <c r="AD19" s="24">
        <f t="shared" si="2"/>
        <v>0</v>
      </c>
      <c r="AE19" s="24">
        <f t="shared" si="2"/>
        <v>0</v>
      </c>
      <c r="AF19" s="24">
        <f t="shared" si="2"/>
        <v>0</v>
      </c>
      <c r="AG19" s="24">
        <f t="shared" si="2"/>
        <v>0</v>
      </c>
      <c r="AH19" s="24">
        <f t="shared" si="2"/>
        <v>0</v>
      </c>
      <c r="AI19" s="24">
        <f t="shared" si="2"/>
        <v>0</v>
      </c>
      <c r="AJ19" s="24">
        <f t="shared" si="2"/>
        <v>0</v>
      </c>
      <c r="AK19" s="24">
        <f t="shared" si="2"/>
        <v>0</v>
      </c>
      <c r="AL19" s="24">
        <f t="shared" si="2"/>
        <v>0</v>
      </c>
      <c r="AM19" s="25">
        <f t="shared" si="2"/>
        <v>0</v>
      </c>
      <c r="AN19" s="779"/>
    </row>
    <row r="20" spans="1:40" ht="13.5" thickBot="1">
      <c r="A20" s="806"/>
      <c r="B20" s="738"/>
      <c r="C20" s="805"/>
      <c r="D20" s="784"/>
      <c r="E20" s="777"/>
      <c r="F20" s="116">
        <f>F14+F17</f>
        <v>945000</v>
      </c>
      <c r="G20" s="36" t="s">
        <v>26</v>
      </c>
      <c r="H20" s="37">
        <f aca="true" t="shared" si="3" ref="H20:AM20">H14+H16+H18</f>
        <v>0</v>
      </c>
      <c r="I20" s="119">
        <f t="shared" si="3"/>
        <v>945000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9">
        <f t="shared" si="3"/>
        <v>0</v>
      </c>
      <c r="Q20" s="29">
        <f t="shared" si="3"/>
        <v>0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0</v>
      </c>
      <c r="Z20" s="29">
        <f t="shared" si="3"/>
        <v>0</v>
      </c>
      <c r="AA20" s="29">
        <f t="shared" si="3"/>
        <v>0</v>
      </c>
      <c r="AB20" s="29">
        <f t="shared" si="3"/>
        <v>0</v>
      </c>
      <c r="AC20" s="29">
        <f t="shared" si="3"/>
        <v>0</v>
      </c>
      <c r="AD20" s="29">
        <f t="shared" si="3"/>
        <v>0</v>
      </c>
      <c r="AE20" s="29">
        <f t="shared" si="3"/>
        <v>0</v>
      </c>
      <c r="AF20" s="29">
        <f t="shared" si="3"/>
        <v>0</v>
      </c>
      <c r="AG20" s="29">
        <f t="shared" si="3"/>
        <v>0</v>
      </c>
      <c r="AH20" s="29">
        <f t="shared" si="3"/>
        <v>0</v>
      </c>
      <c r="AI20" s="29">
        <f t="shared" si="3"/>
        <v>0</v>
      </c>
      <c r="AJ20" s="29">
        <f t="shared" si="3"/>
        <v>0</v>
      </c>
      <c r="AK20" s="29">
        <f t="shared" si="3"/>
        <v>0</v>
      </c>
      <c r="AL20" s="29">
        <f t="shared" si="3"/>
        <v>0</v>
      </c>
      <c r="AM20" s="38">
        <f t="shared" si="3"/>
        <v>0</v>
      </c>
      <c r="AN20" s="780"/>
    </row>
    <row r="21" spans="1:40" ht="12.75" customHeight="1">
      <c r="A21" s="773">
        <v>3</v>
      </c>
      <c r="B21" s="752" t="s">
        <v>126</v>
      </c>
      <c r="C21" s="804">
        <v>60004</v>
      </c>
      <c r="D21" s="783" t="s">
        <v>164</v>
      </c>
      <c r="E21" s="776"/>
      <c r="F21" s="8" t="s">
        <v>14</v>
      </c>
      <c r="G21" s="32" t="s">
        <v>15</v>
      </c>
      <c r="H21" s="33"/>
      <c r="I21" s="118"/>
      <c r="J21" s="34"/>
      <c r="K21" s="34"/>
      <c r="L21" s="34"/>
      <c r="M21" s="34"/>
      <c r="N21" s="34"/>
      <c r="O21" s="34"/>
      <c r="P21" s="34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803">
        <f>SUM(J28:AM28)</f>
        <v>40000000</v>
      </c>
    </row>
    <row r="22" spans="1:40" ht="12.75">
      <c r="A22" s="774"/>
      <c r="B22" s="737"/>
      <c r="C22" s="782"/>
      <c r="D22" s="784"/>
      <c r="E22" s="776"/>
      <c r="F22" s="746">
        <f>SUM(H27:AM27)</f>
        <v>0</v>
      </c>
      <c r="G22" s="15" t="s">
        <v>16</v>
      </c>
      <c r="H22" s="16"/>
      <c r="I22" s="114">
        <v>760000</v>
      </c>
      <c r="J22" s="18"/>
      <c r="K22" s="18">
        <v>10000000</v>
      </c>
      <c r="L22" s="18">
        <v>20000000</v>
      </c>
      <c r="M22" s="18">
        <v>10000000</v>
      </c>
      <c r="N22" s="18"/>
      <c r="O22" s="18"/>
      <c r="P22" s="1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779"/>
    </row>
    <row r="23" spans="1:40" ht="12.75">
      <c r="A23" s="774"/>
      <c r="B23" s="737"/>
      <c r="C23" s="782"/>
      <c r="D23" s="784"/>
      <c r="E23" s="776"/>
      <c r="F23" s="781"/>
      <c r="G23" s="15" t="s">
        <v>17</v>
      </c>
      <c r="H23" s="16"/>
      <c r="I23" s="114"/>
      <c r="J23" s="18"/>
      <c r="K23" s="18"/>
      <c r="L23" s="18"/>
      <c r="M23" s="18"/>
      <c r="N23" s="18"/>
      <c r="O23" s="18"/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779"/>
    </row>
    <row r="24" spans="1:40" ht="12.75">
      <c r="A24" s="774"/>
      <c r="B24" s="737"/>
      <c r="C24" s="782"/>
      <c r="D24" s="784"/>
      <c r="E24" s="727"/>
      <c r="F24" s="21" t="s">
        <v>18</v>
      </c>
      <c r="G24" s="15" t="s">
        <v>19</v>
      </c>
      <c r="H24" s="16"/>
      <c r="I24" s="114"/>
      <c r="J24" s="18"/>
      <c r="K24" s="18"/>
      <c r="L24" s="18"/>
      <c r="M24" s="18"/>
      <c r="N24" s="18"/>
      <c r="O24" s="18"/>
      <c r="P24" s="18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779"/>
    </row>
    <row r="25" spans="1:40" ht="12.75">
      <c r="A25" s="774"/>
      <c r="B25" s="737"/>
      <c r="C25" s="782"/>
      <c r="D25" s="784"/>
      <c r="E25" s="723"/>
      <c r="F25" s="746">
        <f>SUM(H28:AM28)</f>
        <v>40760000</v>
      </c>
      <c r="G25" s="15" t="s">
        <v>23</v>
      </c>
      <c r="H25" s="16"/>
      <c r="I25" s="114"/>
      <c r="J25" s="18"/>
      <c r="K25" s="18"/>
      <c r="L25" s="18"/>
      <c r="M25" s="18"/>
      <c r="N25" s="18"/>
      <c r="O25" s="18"/>
      <c r="P25" s="1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779"/>
    </row>
    <row r="26" spans="1:40" ht="12.75">
      <c r="A26" s="774"/>
      <c r="B26" s="737"/>
      <c r="C26" s="782"/>
      <c r="D26" s="784"/>
      <c r="E26" s="776"/>
      <c r="F26" s="781"/>
      <c r="G26" s="15" t="s">
        <v>24</v>
      </c>
      <c r="H26" s="16"/>
      <c r="I26" s="114"/>
      <c r="J26" s="18"/>
      <c r="K26" s="18"/>
      <c r="L26" s="18"/>
      <c r="M26" s="18"/>
      <c r="N26" s="18"/>
      <c r="O26" s="18"/>
      <c r="P26" s="18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779"/>
    </row>
    <row r="27" spans="1:40" ht="12.75">
      <c r="A27" s="774"/>
      <c r="B27" s="737"/>
      <c r="C27" s="782"/>
      <c r="D27" s="784"/>
      <c r="E27" s="776"/>
      <c r="F27" s="21" t="s">
        <v>22</v>
      </c>
      <c r="G27" s="15" t="s">
        <v>25</v>
      </c>
      <c r="H27" s="22">
        <f aca="true" t="shared" si="4" ref="H27:AM27">H21+H23+H25</f>
        <v>0</v>
      </c>
      <c r="I27" s="115">
        <f t="shared" si="4"/>
        <v>0</v>
      </c>
      <c r="J27" s="24">
        <f t="shared" si="4"/>
        <v>0</v>
      </c>
      <c r="K27" s="24">
        <f t="shared" si="4"/>
        <v>0</v>
      </c>
      <c r="L27" s="24">
        <f t="shared" si="4"/>
        <v>0</v>
      </c>
      <c r="M27" s="24">
        <f t="shared" si="4"/>
        <v>0</v>
      </c>
      <c r="N27" s="24">
        <f t="shared" si="4"/>
        <v>0</v>
      </c>
      <c r="O27" s="24">
        <f t="shared" si="4"/>
        <v>0</v>
      </c>
      <c r="P27" s="24">
        <f t="shared" si="4"/>
        <v>0</v>
      </c>
      <c r="Q27" s="24">
        <f t="shared" si="4"/>
        <v>0</v>
      </c>
      <c r="R27" s="24">
        <f t="shared" si="4"/>
        <v>0</v>
      </c>
      <c r="S27" s="24">
        <f t="shared" si="4"/>
        <v>0</v>
      </c>
      <c r="T27" s="24">
        <f t="shared" si="4"/>
        <v>0</v>
      </c>
      <c r="U27" s="24">
        <f t="shared" si="4"/>
        <v>0</v>
      </c>
      <c r="V27" s="24">
        <f t="shared" si="4"/>
        <v>0</v>
      </c>
      <c r="W27" s="24">
        <f t="shared" si="4"/>
        <v>0</v>
      </c>
      <c r="X27" s="24">
        <f t="shared" si="4"/>
        <v>0</v>
      </c>
      <c r="Y27" s="24">
        <f t="shared" si="4"/>
        <v>0</v>
      </c>
      <c r="Z27" s="24">
        <f t="shared" si="4"/>
        <v>0</v>
      </c>
      <c r="AA27" s="24">
        <f t="shared" si="4"/>
        <v>0</v>
      </c>
      <c r="AB27" s="24">
        <f t="shared" si="4"/>
        <v>0</v>
      </c>
      <c r="AC27" s="24">
        <f t="shared" si="4"/>
        <v>0</v>
      </c>
      <c r="AD27" s="24">
        <f t="shared" si="4"/>
        <v>0</v>
      </c>
      <c r="AE27" s="24">
        <f t="shared" si="4"/>
        <v>0</v>
      </c>
      <c r="AF27" s="24">
        <f t="shared" si="4"/>
        <v>0</v>
      </c>
      <c r="AG27" s="24">
        <f t="shared" si="4"/>
        <v>0</v>
      </c>
      <c r="AH27" s="24">
        <f t="shared" si="4"/>
        <v>0</v>
      </c>
      <c r="AI27" s="24">
        <f t="shared" si="4"/>
        <v>0</v>
      </c>
      <c r="AJ27" s="24">
        <f t="shared" si="4"/>
        <v>0</v>
      </c>
      <c r="AK27" s="24">
        <f t="shared" si="4"/>
        <v>0</v>
      </c>
      <c r="AL27" s="24">
        <f t="shared" si="4"/>
        <v>0</v>
      </c>
      <c r="AM27" s="25">
        <f t="shared" si="4"/>
        <v>0</v>
      </c>
      <c r="AN27" s="779"/>
    </row>
    <row r="28" spans="1:40" ht="13.5" thickBot="1">
      <c r="A28" s="806"/>
      <c r="B28" s="738"/>
      <c r="C28" s="805"/>
      <c r="D28" s="784"/>
      <c r="E28" s="777"/>
      <c r="F28" s="116">
        <f>F22+F25</f>
        <v>40760000</v>
      </c>
      <c r="G28" s="36" t="s">
        <v>26</v>
      </c>
      <c r="H28" s="37">
        <f aca="true" t="shared" si="5" ref="H28:AM28">H22+H24+H26</f>
        <v>0</v>
      </c>
      <c r="I28" s="119">
        <f t="shared" si="5"/>
        <v>760000</v>
      </c>
      <c r="J28" s="29">
        <f t="shared" si="5"/>
        <v>0</v>
      </c>
      <c r="K28" s="29">
        <f t="shared" si="5"/>
        <v>10000000</v>
      </c>
      <c r="L28" s="29">
        <f t="shared" si="5"/>
        <v>20000000</v>
      </c>
      <c r="M28" s="29">
        <f t="shared" si="5"/>
        <v>10000000</v>
      </c>
      <c r="N28" s="29">
        <f t="shared" si="5"/>
        <v>0</v>
      </c>
      <c r="O28" s="29">
        <f t="shared" si="5"/>
        <v>0</v>
      </c>
      <c r="P28" s="29">
        <f t="shared" si="5"/>
        <v>0</v>
      </c>
      <c r="Q28" s="29">
        <f t="shared" si="5"/>
        <v>0</v>
      </c>
      <c r="R28" s="29">
        <f t="shared" si="5"/>
        <v>0</v>
      </c>
      <c r="S28" s="29">
        <f t="shared" si="5"/>
        <v>0</v>
      </c>
      <c r="T28" s="29">
        <f t="shared" si="5"/>
        <v>0</v>
      </c>
      <c r="U28" s="29">
        <f t="shared" si="5"/>
        <v>0</v>
      </c>
      <c r="V28" s="29">
        <f t="shared" si="5"/>
        <v>0</v>
      </c>
      <c r="W28" s="29">
        <f t="shared" si="5"/>
        <v>0</v>
      </c>
      <c r="X28" s="29">
        <f t="shared" si="5"/>
        <v>0</v>
      </c>
      <c r="Y28" s="29">
        <f t="shared" si="5"/>
        <v>0</v>
      </c>
      <c r="Z28" s="29">
        <f t="shared" si="5"/>
        <v>0</v>
      </c>
      <c r="AA28" s="29">
        <f t="shared" si="5"/>
        <v>0</v>
      </c>
      <c r="AB28" s="29">
        <f t="shared" si="5"/>
        <v>0</v>
      </c>
      <c r="AC28" s="29">
        <f t="shared" si="5"/>
        <v>0</v>
      </c>
      <c r="AD28" s="29">
        <f t="shared" si="5"/>
        <v>0</v>
      </c>
      <c r="AE28" s="29">
        <f t="shared" si="5"/>
        <v>0</v>
      </c>
      <c r="AF28" s="29">
        <f t="shared" si="5"/>
        <v>0</v>
      </c>
      <c r="AG28" s="29">
        <f t="shared" si="5"/>
        <v>0</v>
      </c>
      <c r="AH28" s="29">
        <f t="shared" si="5"/>
        <v>0</v>
      </c>
      <c r="AI28" s="29">
        <f t="shared" si="5"/>
        <v>0</v>
      </c>
      <c r="AJ28" s="29">
        <f t="shared" si="5"/>
        <v>0</v>
      </c>
      <c r="AK28" s="29">
        <f t="shared" si="5"/>
        <v>0</v>
      </c>
      <c r="AL28" s="29">
        <f t="shared" si="5"/>
        <v>0</v>
      </c>
      <c r="AM28" s="38">
        <f t="shared" si="5"/>
        <v>0</v>
      </c>
      <c r="AN28" s="780"/>
    </row>
    <row r="29" spans="1:40" ht="12.75" customHeight="1">
      <c r="A29" s="773">
        <v>4</v>
      </c>
      <c r="B29" s="752" t="s">
        <v>127</v>
      </c>
      <c r="C29" s="804">
        <v>60015</v>
      </c>
      <c r="D29" s="783" t="s">
        <v>164</v>
      </c>
      <c r="E29" s="775">
        <v>2010</v>
      </c>
      <c r="F29" s="8" t="s">
        <v>14</v>
      </c>
      <c r="G29" s="32" t="s">
        <v>15</v>
      </c>
      <c r="H29" s="33"/>
      <c r="I29" s="118"/>
      <c r="J29" s="34"/>
      <c r="K29" s="34"/>
      <c r="L29" s="34"/>
      <c r="M29" s="34"/>
      <c r="N29" s="34"/>
      <c r="O29" s="34"/>
      <c r="P29" s="34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803">
        <f>SUM(J36:AM36)</f>
        <v>0</v>
      </c>
    </row>
    <row r="30" spans="1:40" ht="12.75">
      <c r="A30" s="774"/>
      <c r="B30" s="737"/>
      <c r="C30" s="782"/>
      <c r="D30" s="784"/>
      <c r="E30" s="776"/>
      <c r="F30" s="746">
        <f>SUM(H35:AM35)</f>
        <v>0</v>
      </c>
      <c r="G30" s="15" t="s">
        <v>16</v>
      </c>
      <c r="H30" s="16">
        <v>200000</v>
      </c>
      <c r="I30" s="114">
        <v>2300000</v>
      </c>
      <c r="J30" s="18"/>
      <c r="K30" s="18"/>
      <c r="L30" s="18"/>
      <c r="M30" s="18"/>
      <c r="N30" s="18"/>
      <c r="O30" s="18"/>
      <c r="P30" s="18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779"/>
    </row>
    <row r="31" spans="1:40" ht="12.75">
      <c r="A31" s="774"/>
      <c r="B31" s="737"/>
      <c r="C31" s="782"/>
      <c r="D31" s="784"/>
      <c r="E31" s="776"/>
      <c r="F31" s="781"/>
      <c r="G31" s="15" t="s">
        <v>17</v>
      </c>
      <c r="H31" s="16"/>
      <c r="I31" s="114"/>
      <c r="J31" s="18"/>
      <c r="K31" s="18"/>
      <c r="L31" s="18"/>
      <c r="M31" s="18"/>
      <c r="N31" s="18"/>
      <c r="O31" s="18"/>
      <c r="P31" s="18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779"/>
    </row>
    <row r="32" spans="1:40" ht="12.75">
      <c r="A32" s="774"/>
      <c r="B32" s="737"/>
      <c r="C32" s="782"/>
      <c r="D32" s="784"/>
      <c r="E32" s="727"/>
      <c r="F32" s="21" t="s">
        <v>18</v>
      </c>
      <c r="G32" s="15" t="s">
        <v>19</v>
      </c>
      <c r="H32" s="16"/>
      <c r="I32" s="114"/>
      <c r="J32" s="18"/>
      <c r="K32" s="18"/>
      <c r="L32" s="18"/>
      <c r="M32" s="18"/>
      <c r="N32" s="18"/>
      <c r="O32" s="18"/>
      <c r="P32" s="18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779"/>
    </row>
    <row r="33" spans="1:40" ht="12.75">
      <c r="A33" s="774"/>
      <c r="B33" s="737"/>
      <c r="C33" s="782"/>
      <c r="D33" s="784"/>
      <c r="E33" s="723">
        <v>2011</v>
      </c>
      <c r="F33" s="746">
        <f>SUM(H36:AM36)</f>
        <v>2500000</v>
      </c>
      <c r="G33" s="15" t="s">
        <v>23</v>
      </c>
      <c r="H33" s="16"/>
      <c r="I33" s="114"/>
      <c r="J33" s="18"/>
      <c r="K33" s="18"/>
      <c r="L33" s="18"/>
      <c r="M33" s="18"/>
      <c r="N33" s="18"/>
      <c r="O33" s="18"/>
      <c r="P33" s="18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779"/>
    </row>
    <row r="34" spans="1:40" ht="12.75">
      <c r="A34" s="774"/>
      <c r="B34" s="737"/>
      <c r="C34" s="782"/>
      <c r="D34" s="784"/>
      <c r="E34" s="776"/>
      <c r="F34" s="781"/>
      <c r="G34" s="15" t="s">
        <v>24</v>
      </c>
      <c r="H34" s="16"/>
      <c r="I34" s="114"/>
      <c r="J34" s="18"/>
      <c r="K34" s="18"/>
      <c r="L34" s="18"/>
      <c r="M34" s="18"/>
      <c r="N34" s="18"/>
      <c r="O34" s="18"/>
      <c r="P34" s="18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779"/>
    </row>
    <row r="35" spans="1:40" ht="12.75">
      <c r="A35" s="774"/>
      <c r="B35" s="737"/>
      <c r="C35" s="782"/>
      <c r="D35" s="784"/>
      <c r="E35" s="776"/>
      <c r="F35" s="21" t="s">
        <v>22</v>
      </c>
      <c r="G35" s="15" t="s">
        <v>25</v>
      </c>
      <c r="H35" s="22">
        <f aca="true" t="shared" si="6" ref="H35:AM35">H29+H31+H33</f>
        <v>0</v>
      </c>
      <c r="I35" s="115">
        <f t="shared" si="6"/>
        <v>0</v>
      </c>
      <c r="J35" s="24">
        <f t="shared" si="6"/>
        <v>0</v>
      </c>
      <c r="K35" s="24">
        <f t="shared" si="6"/>
        <v>0</v>
      </c>
      <c r="L35" s="24">
        <f t="shared" si="6"/>
        <v>0</v>
      </c>
      <c r="M35" s="24">
        <f t="shared" si="6"/>
        <v>0</v>
      </c>
      <c r="N35" s="24">
        <f t="shared" si="6"/>
        <v>0</v>
      </c>
      <c r="O35" s="24">
        <f t="shared" si="6"/>
        <v>0</v>
      </c>
      <c r="P35" s="24">
        <f t="shared" si="6"/>
        <v>0</v>
      </c>
      <c r="Q35" s="24">
        <f t="shared" si="6"/>
        <v>0</v>
      </c>
      <c r="R35" s="24">
        <f t="shared" si="6"/>
        <v>0</v>
      </c>
      <c r="S35" s="24">
        <f t="shared" si="6"/>
        <v>0</v>
      </c>
      <c r="T35" s="24">
        <f t="shared" si="6"/>
        <v>0</v>
      </c>
      <c r="U35" s="24">
        <f t="shared" si="6"/>
        <v>0</v>
      </c>
      <c r="V35" s="24">
        <f t="shared" si="6"/>
        <v>0</v>
      </c>
      <c r="W35" s="24">
        <f t="shared" si="6"/>
        <v>0</v>
      </c>
      <c r="X35" s="24">
        <f t="shared" si="6"/>
        <v>0</v>
      </c>
      <c r="Y35" s="24">
        <f t="shared" si="6"/>
        <v>0</v>
      </c>
      <c r="Z35" s="24">
        <f t="shared" si="6"/>
        <v>0</v>
      </c>
      <c r="AA35" s="24">
        <f t="shared" si="6"/>
        <v>0</v>
      </c>
      <c r="AB35" s="24">
        <f t="shared" si="6"/>
        <v>0</v>
      </c>
      <c r="AC35" s="24">
        <f t="shared" si="6"/>
        <v>0</v>
      </c>
      <c r="AD35" s="24">
        <f t="shared" si="6"/>
        <v>0</v>
      </c>
      <c r="AE35" s="24">
        <f t="shared" si="6"/>
        <v>0</v>
      </c>
      <c r="AF35" s="24">
        <f t="shared" si="6"/>
        <v>0</v>
      </c>
      <c r="AG35" s="24">
        <f t="shared" si="6"/>
        <v>0</v>
      </c>
      <c r="AH35" s="24">
        <f t="shared" si="6"/>
        <v>0</v>
      </c>
      <c r="AI35" s="24">
        <f t="shared" si="6"/>
        <v>0</v>
      </c>
      <c r="AJ35" s="24">
        <f t="shared" si="6"/>
        <v>0</v>
      </c>
      <c r="AK35" s="24">
        <f t="shared" si="6"/>
        <v>0</v>
      </c>
      <c r="AL35" s="24">
        <f t="shared" si="6"/>
        <v>0</v>
      </c>
      <c r="AM35" s="24">
        <f t="shared" si="6"/>
        <v>0</v>
      </c>
      <c r="AN35" s="779"/>
    </row>
    <row r="36" spans="1:40" ht="13.5" thickBot="1">
      <c r="A36" s="806"/>
      <c r="B36" s="738"/>
      <c r="C36" s="805"/>
      <c r="D36" s="771"/>
      <c r="E36" s="777"/>
      <c r="F36" s="116">
        <f>F30+F33</f>
        <v>2500000</v>
      </c>
      <c r="G36" s="36" t="s">
        <v>26</v>
      </c>
      <c r="H36" s="37">
        <f aca="true" t="shared" si="7" ref="H36:AM36">H30+H32+H34</f>
        <v>200000</v>
      </c>
      <c r="I36" s="119">
        <f t="shared" si="7"/>
        <v>2300000</v>
      </c>
      <c r="J36" s="29">
        <f t="shared" si="7"/>
        <v>0</v>
      </c>
      <c r="K36" s="29">
        <f t="shared" si="7"/>
        <v>0</v>
      </c>
      <c r="L36" s="29">
        <f t="shared" si="7"/>
        <v>0</v>
      </c>
      <c r="M36" s="29">
        <f t="shared" si="7"/>
        <v>0</v>
      </c>
      <c r="N36" s="29">
        <f t="shared" si="7"/>
        <v>0</v>
      </c>
      <c r="O36" s="29">
        <f t="shared" si="7"/>
        <v>0</v>
      </c>
      <c r="P36" s="29">
        <f t="shared" si="7"/>
        <v>0</v>
      </c>
      <c r="Q36" s="29">
        <f t="shared" si="7"/>
        <v>0</v>
      </c>
      <c r="R36" s="29">
        <f t="shared" si="7"/>
        <v>0</v>
      </c>
      <c r="S36" s="29">
        <f t="shared" si="7"/>
        <v>0</v>
      </c>
      <c r="T36" s="29">
        <f t="shared" si="7"/>
        <v>0</v>
      </c>
      <c r="U36" s="29">
        <f t="shared" si="7"/>
        <v>0</v>
      </c>
      <c r="V36" s="29">
        <f t="shared" si="7"/>
        <v>0</v>
      </c>
      <c r="W36" s="29">
        <f t="shared" si="7"/>
        <v>0</v>
      </c>
      <c r="X36" s="29">
        <f t="shared" si="7"/>
        <v>0</v>
      </c>
      <c r="Y36" s="29">
        <f t="shared" si="7"/>
        <v>0</v>
      </c>
      <c r="Z36" s="29">
        <f t="shared" si="7"/>
        <v>0</v>
      </c>
      <c r="AA36" s="29">
        <f t="shared" si="7"/>
        <v>0</v>
      </c>
      <c r="AB36" s="29">
        <f t="shared" si="7"/>
        <v>0</v>
      </c>
      <c r="AC36" s="29">
        <f t="shared" si="7"/>
        <v>0</v>
      </c>
      <c r="AD36" s="29">
        <f t="shared" si="7"/>
        <v>0</v>
      </c>
      <c r="AE36" s="29">
        <f t="shared" si="7"/>
        <v>0</v>
      </c>
      <c r="AF36" s="29">
        <f t="shared" si="7"/>
        <v>0</v>
      </c>
      <c r="AG36" s="29">
        <f t="shared" si="7"/>
        <v>0</v>
      </c>
      <c r="AH36" s="29">
        <f t="shared" si="7"/>
        <v>0</v>
      </c>
      <c r="AI36" s="29">
        <f t="shared" si="7"/>
        <v>0</v>
      </c>
      <c r="AJ36" s="29">
        <f t="shared" si="7"/>
        <v>0</v>
      </c>
      <c r="AK36" s="29">
        <f t="shared" si="7"/>
        <v>0</v>
      </c>
      <c r="AL36" s="29">
        <f t="shared" si="7"/>
        <v>0</v>
      </c>
      <c r="AM36" s="29">
        <f t="shared" si="7"/>
        <v>0</v>
      </c>
      <c r="AN36" s="780"/>
    </row>
    <row r="37" spans="1:40" ht="12.75" customHeight="1">
      <c r="A37" s="773">
        <v>5</v>
      </c>
      <c r="B37" s="752" t="s">
        <v>128</v>
      </c>
      <c r="C37" s="804">
        <v>60015</v>
      </c>
      <c r="D37" s="783" t="s">
        <v>164</v>
      </c>
      <c r="E37" s="775">
        <v>2010</v>
      </c>
      <c r="F37" s="8" t="s">
        <v>14</v>
      </c>
      <c r="G37" s="32" t="s">
        <v>15</v>
      </c>
      <c r="H37" s="33"/>
      <c r="I37" s="118"/>
      <c r="J37" s="34"/>
      <c r="K37" s="34"/>
      <c r="L37" s="34"/>
      <c r="M37" s="34"/>
      <c r="N37" s="34"/>
      <c r="O37" s="34"/>
      <c r="P37" s="34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803">
        <f>SUM(J44:AM44)</f>
        <v>4000000</v>
      </c>
    </row>
    <row r="38" spans="1:40" ht="12.75">
      <c r="A38" s="774"/>
      <c r="B38" s="737"/>
      <c r="C38" s="782"/>
      <c r="D38" s="784"/>
      <c r="E38" s="776"/>
      <c r="F38" s="746">
        <f>SUM(H43:AM43)</f>
        <v>0</v>
      </c>
      <c r="G38" s="15" t="s">
        <v>16</v>
      </c>
      <c r="H38" s="16">
        <v>500000</v>
      </c>
      <c r="I38" s="114">
        <f>2500000+450000</f>
        <v>2950000</v>
      </c>
      <c r="J38" s="18">
        <v>2000000</v>
      </c>
      <c r="K38" s="18">
        <v>2000000</v>
      </c>
      <c r="L38" s="18"/>
      <c r="M38" s="18"/>
      <c r="N38" s="18"/>
      <c r="O38" s="18"/>
      <c r="P38" s="18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779"/>
    </row>
    <row r="39" spans="1:40" ht="12.75">
      <c r="A39" s="774"/>
      <c r="B39" s="737"/>
      <c r="C39" s="782"/>
      <c r="D39" s="784"/>
      <c r="E39" s="776"/>
      <c r="F39" s="781"/>
      <c r="G39" s="15" t="s">
        <v>17</v>
      </c>
      <c r="H39" s="16"/>
      <c r="I39" s="114"/>
      <c r="J39" s="18"/>
      <c r="K39" s="18"/>
      <c r="L39" s="18"/>
      <c r="M39" s="18"/>
      <c r="N39" s="18"/>
      <c r="O39" s="18"/>
      <c r="P39" s="18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779"/>
    </row>
    <row r="40" spans="1:40" ht="12.75">
      <c r="A40" s="774"/>
      <c r="B40" s="737"/>
      <c r="C40" s="782"/>
      <c r="D40" s="784"/>
      <c r="E40" s="727"/>
      <c r="F40" s="21" t="s">
        <v>18</v>
      </c>
      <c r="G40" s="15" t="s">
        <v>19</v>
      </c>
      <c r="H40" s="16"/>
      <c r="I40" s="114"/>
      <c r="J40" s="18"/>
      <c r="K40" s="18"/>
      <c r="L40" s="18"/>
      <c r="M40" s="18"/>
      <c r="N40" s="18"/>
      <c r="O40" s="18"/>
      <c r="P40" s="18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779"/>
    </row>
    <row r="41" spans="1:40" ht="12.75">
      <c r="A41" s="774"/>
      <c r="B41" s="737"/>
      <c r="C41" s="782"/>
      <c r="D41" s="784"/>
      <c r="E41" s="723">
        <v>2013</v>
      </c>
      <c r="F41" s="746">
        <f>SUM(H44:AM44)</f>
        <v>7450000</v>
      </c>
      <c r="G41" s="15" t="s">
        <v>23</v>
      </c>
      <c r="H41" s="16"/>
      <c r="I41" s="114"/>
      <c r="J41" s="18"/>
      <c r="K41" s="18"/>
      <c r="L41" s="18"/>
      <c r="M41" s="18"/>
      <c r="N41" s="18"/>
      <c r="O41" s="18"/>
      <c r="P41" s="18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779"/>
    </row>
    <row r="42" spans="1:40" ht="12.75">
      <c r="A42" s="774"/>
      <c r="B42" s="737"/>
      <c r="C42" s="782"/>
      <c r="D42" s="784"/>
      <c r="E42" s="776"/>
      <c r="F42" s="781"/>
      <c r="G42" s="15" t="s">
        <v>24</v>
      </c>
      <c r="H42" s="16"/>
      <c r="I42" s="114"/>
      <c r="J42" s="18"/>
      <c r="K42" s="18"/>
      <c r="L42" s="18"/>
      <c r="M42" s="18"/>
      <c r="N42" s="18"/>
      <c r="O42" s="18"/>
      <c r="P42" s="18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779"/>
    </row>
    <row r="43" spans="1:40" ht="12.75">
      <c r="A43" s="774"/>
      <c r="B43" s="737"/>
      <c r="C43" s="782"/>
      <c r="D43" s="784"/>
      <c r="E43" s="776"/>
      <c r="F43" s="21" t="s">
        <v>22</v>
      </c>
      <c r="G43" s="15" t="s">
        <v>25</v>
      </c>
      <c r="H43" s="22">
        <f aca="true" t="shared" si="8" ref="H43:AM43">H37+H39+H41</f>
        <v>0</v>
      </c>
      <c r="I43" s="115">
        <f t="shared" si="8"/>
        <v>0</v>
      </c>
      <c r="J43" s="24">
        <f t="shared" si="8"/>
        <v>0</v>
      </c>
      <c r="K43" s="24">
        <f t="shared" si="8"/>
        <v>0</v>
      </c>
      <c r="L43" s="24">
        <f t="shared" si="8"/>
        <v>0</v>
      </c>
      <c r="M43" s="24">
        <f t="shared" si="8"/>
        <v>0</v>
      </c>
      <c r="N43" s="24">
        <f t="shared" si="8"/>
        <v>0</v>
      </c>
      <c r="O43" s="24">
        <f t="shared" si="8"/>
        <v>0</v>
      </c>
      <c r="P43" s="24">
        <f t="shared" si="8"/>
        <v>0</v>
      </c>
      <c r="Q43" s="24">
        <f t="shared" si="8"/>
        <v>0</v>
      </c>
      <c r="R43" s="24">
        <f t="shared" si="8"/>
        <v>0</v>
      </c>
      <c r="S43" s="24">
        <f t="shared" si="8"/>
        <v>0</v>
      </c>
      <c r="T43" s="24">
        <f t="shared" si="8"/>
        <v>0</v>
      </c>
      <c r="U43" s="24">
        <f t="shared" si="8"/>
        <v>0</v>
      </c>
      <c r="V43" s="24">
        <f t="shared" si="8"/>
        <v>0</v>
      </c>
      <c r="W43" s="24">
        <f t="shared" si="8"/>
        <v>0</v>
      </c>
      <c r="X43" s="24">
        <f t="shared" si="8"/>
        <v>0</v>
      </c>
      <c r="Y43" s="24">
        <f t="shared" si="8"/>
        <v>0</v>
      </c>
      <c r="Z43" s="24">
        <f t="shared" si="8"/>
        <v>0</v>
      </c>
      <c r="AA43" s="24">
        <f t="shared" si="8"/>
        <v>0</v>
      </c>
      <c r="AB43" s="24">
        <f t="shared" si="8"/>
        <v>0</v>
      </c>
      <c r="AC43" s="24">
        <f t="shared" si="8"/>
        <v>0</v>
      </c>
      <c r="AD43" s="24">
        <f t="shared" si="8"/>
        <v>0</v>
      </c>
      <c r="AE43" s="24">
        <f t="shared" si="8"/>
        <v>0</v>
      </c>
      <c r="AF43" s="24">
        <f t="shared" si="8"/>
        <v>0</v>
      </c>
      <c r="AG43" s="24">
        <f t="shared" si="8"/>
        <v>0</v>
      </c>
      <c r="AH43" s="24">
        <f t="shared" si="8"/>
        <v>0</v>
      </c>
      <c r="AI43" s="24">
        <f t="shared" si="8"/>
        <v>0</v>
      </c>
      <c r="AJ43" s="24">
        <f t="shared" si="8"/>
        <v>0</v>
      </c>
      <c r="AK43" s="24">
        <f t="shared" si="8"/>
        <v>0</v>
      </c>
      <c r="AL43" s="24">
        <f t="shared" si="8"/>
        <v>0</v>
      </c>
      <c r="AM43" s="24">
        <f t="shared" si="8"/>
        <v>0</v>
      </c>
      <c r="AN43" s="779"/>
    </row>
    <row r="44" spans="1:40" ht="13.5" thickBot="1">
      <c r="A44" s="806"/>
      <c r="B44" s="738"/>
      <c r="C44" s="805"/>
      <c r="D44" s="784"/>
      <c r="E44" s="777"/>
      <c r="F44" s="116">
        <f>F38+F41</f>
        <v>7450000</v>
      </c>
      <c r="G44" s="36" t="s">
        <v>26</v>
      </c>
      <c r="H44" s="37">
        <f aca="true" t="shared" si="9" ref="H44:AM44">H38+H40+H42</f>
        <v>500000</v>
      </c>
      <c r="I44" s="119">
        <f t="shared" si="9"/>
        <v>2950000</v>
      </c>
      <c r="J44" s="29">
        <f t="shared" si="9"/>
        <v>2000000</v>
      </c>
      <c r="K44" s="29">
        <f t="shared" si="9"/>
        <v>2000000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  <c r="R44" s="29">
        <f t="shared" si="9"/>
        <v>0</v>
      </c>
      <c r="S44" s="29">
        <f t="shared" si="9"/>
        <v>0</v>
      </c>
      <c r="T44" s="29">
        <f t="shared" si="9"/>
        <v>0</v>
      </c>
      <c r="U44" s="29">
        <f t="shared" si="9"/>
        <v>0</v>
      </c>
      <c r="V44" s="29">
        <f t="shared" si="9"/>
        <v>0</v>
      </c>
      <c r="W44" s="29">
        <f t="shared" si="9"/>
        <v>0</v>
      </c>
      <c r="X44" s="29">
        <f t="shared" si="9"/>
        <v>0</v>
      </c>
      <c r="Y44" s="29">
        <f t="shared" si="9"/>
        <v>0</v>
      </c>
      <c r="Z44" s="29">
        <f t="shared" si="9"/>
        <v>0</v>
      </c>
      <c r="AA44" s="29">
        <f t="shared" si="9"/>
        <v>0</v>
      </c>
      <c r="AB44" s="29">
        <f t="shared" si="9"/>
        <v>0</v>
      </c>
      <c r="AC44" s="29">
        <f t="shared" si="9"/>
        <v>0</v>
      </c>
      <c r="AD44" s="29">
        <f t="shared" si="9"/>
        <v>0</v>
      </c>
      <c r="AE44" s="29">
        <f t="shared" si="9"/>
        <v>0</v>
      </c>
      <c r="AF44" s="29">
        <f t="shared" si="9"/>
        <v>0</v>
      </c>
      <c r="AG44" s="29">
        <f t="shared" si="9"/>
        <v>0</v>
      </c>
      <c r="AH44" s="29">
        <f t="shared" si="9"/>
        <v>0</v>
      </c>
      <c r="AI44" s="29">
        <f t="shared" si="9"/>
        <v>0</v>
      </c>
      <c r="AJ44" s="29">
        <f t="shared" si="9"/>
        <v>0</v>
      </c>
      <c r="AK44" s="29">
        <f t="shared" si="9"/>
        <v>0</v>
      </c>
      <c r="AL44" s="29">
        <f t="shared" si="9"/>
        <v>0</v>
      </c>
      <c r="AM44" s="29">
        <f t="shared" si="9"/>
        <v>0</v>
      </c>
      <c r="AN44" s="780"/>
    </row>
    <row r="45" spans="1:40" ht="12.75" customHeight="1" hidden="1">
      <c r="A45" s="773">
        <v>6</v>
      </c>
      <c r="B45" s="752"/>
      <c r="C45" s="804"/>
      <c r="D45" s="783"/>
      <c r="E45" s="775"/>
      <c r="F45" s="8" t="s">
        <v>14</v>
      </c>
      <c r="G45" s="32" t="s">
        <v>15</v>
      </c>
      <c r="H45" s="33"/>
      <c r="I45" s="118"/>
      <c r="J45" s="34"/>
      <c r="K45" s="34"/>
      <c r="L45" s="34"/>
      <c r="M45" s="34"/>
      <c r="N45" s="34"/>
      <c r="O45" s="34"/>
      <c r="P45" s="34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803">
        <f>SUM(J51:AM51)</f>
        <v>0</v>
      </c>
    </row>
    <row r="46" spans="1:40" ht="12.75" hidden="1">
      <c r="A46" s="774"/>
      <c r="B46" s="737"/>
      <c r="C46" s="782"/>
      <c r="D46" s="784"/>
      <c r="E46" s="776"/>
      <c r="F46" s="14">
        <v>0</v>
      </c>
      <c r="G46" s="15" t="s">
        <v>16</v>
      </c>
      <c r="H46" s="16"/>
      <c r="I46" s="114"/>
      <c r="J46" s="18"/>
      <c r="K46" s="18"/>
      <c r="L46" s="18"/>
      <c r="M46" s="18"/>
      <c r="N46" s="18"/>
      <c r="O46" s="18"/>
      <c r="P46" s="18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779"/>
    </row>
    <row r="47" spans="1:40" ht="12.75" hidden="1">
      <c r="A47" s="774"/>
      <c r="B47" s="737"/>
      <c r="C47" s="782"/>
      <c r="D47" s="784"/>
      <c r="E47" s="727"/>
      <c r="F47" s="21" t="s">
        <v>18</v>
      </c>
      <c r="G47" s="15" t="s">
        <v>19</v>
      </c>
      <c r="H47" s="16"/>
      <c r="I47" s="114"/>
      <c r="J47" s="18"/>
      <c r="K47" s="18"/>
      <c r="L47" s="18"/>
      <c r="M47" s="18"/>
      <c r="N47" s="18"/>
      <c r="O47" s="18"/>
      <c r="P47" s="18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779"/>
    </row>
    <row r="48" spans="1:40" ht="12.75" hidden="1">
      <c r="A48" s="774"/>
      <c r="B48" s="737"/>
      <c r="C48" s="782"/>
      <c r="D48" s="784"/>
      <c r="E48" s="723"/>
      <c r="F48" s="746">
        <f>SUM(H51:AM51)</f>
        <v>0</v>
      </c>
      <c r="G48" s="15" t="s">
        <v>23</v>
      </c>
      <c r="H48" s="16"/>
      <c r="I48" s="114"/>
      <c r="J48" s="18"/>
      <c r="K48" s="18"/>
      <c r="L48" s="18"/>
      <c r="M48" s="18"/>
      <c r="N48" s="18"/>
      <c r="O48" s="18"/>
      <c r="P48" s="18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779"/>
    </row>
    <row r="49" spans="1:40" ht="12.75" hidden="1">
      <c r="A49" s="774"/>
      <c r="B49" s="737"/>
      <c r="C49" s="782"/>
      <c r="D49" s="784"/>
      <c r="E49" s="776"/>
      <c r="F49" s="728"/>
      <c r="G49" s="15" t="s">
        <v>24</v>
      </c>
      <c r="H49" s="16"/>
      <c r="I49" s="114"/>
      <c r="J49" s="18"/>
      <c r="K49" s="18"/>
      <c r="L49" s="18"/>
      <c r="M49" s="18"/>
      <c r="N49" s="18"/>
      <c r="O49" s="18"/>
      <c r="P49" s="18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779"/>
    </row>
    <row r="50" spans="1:40" ht="12.75" hidden="1">
      <c r="A50" s="774"/>
      <c r="B50" s="737"/>
      <c r="C50" s="782"/>
      <c r="D50" s="784"/>
      <c r="E50" s="776"/>
      <c r="F50" s="21" t="s">
        <v>22</v>
      </c>
      <c r="G50" s="15" t="s">
        <v>25</v>
      </c>
      <c r="H50" s="22"/>
      <c r="I50" s="115"/>
      <c r="J50" s="24"/>
      <c r="K50" s="24"/>
      <c r="L50" s="24"/>
      <c r="M50" s="24"/>
      <c r="N50" s="24"/>
      <c r="O50" s="24" t="e">
        <f>O45+#REF!+O48</f>
        <v>#REF!</v>
      </c>
      <c r="P50" s="24" t="e">
        <f>P45+#REF!+P48</f>
        <v>#REF!</v>
      </c>
      <c r="Q50" s="24" t="e">
        <f>Q45+#REF!+Q48</f>
        <v>#REF!</v>
      </c>
      <c r="R50" s="24" t="e">
        <f>R45+#REF!+R48</f>
        <v>#REF!</v>
      </c>
      <c r="S50" s="24" t="e">
        <f>S45+#REF!+S48</f>
        <v>#REF!</v>
      </c>
      <c r="T50" s="24" t="e">
        <f>T45+#REF!+T48</f>
        <v>#REF!</v>
      </c>
      <c r="U50" s="24" t="e">
        <f>U45+#REF!+U48</f>
        <v>#REF!</v>
      </c>
      <c r="V50" s="24" t="e">
        <f>V45+#REF!+V48</f>
        <v>#REF!</v>
      </c>
      <c r="W50" s="24" t="e">
        <f>W45+#REF!+W48</f>
        <v>#REF!</v>
      </c>
      <c r="X50" s="24" t="e">
        <f>X45+#REF!+X48</f>
        <v>#REF!</v>
      </c>
      <c r="Y50" s="24" t="e">
        <f>Y45+#REF!+Y48</f>
        <v>#REF!</v>
      </c>
      <c r="Z50" s="24" t="e">
        <f>Z45+#REF!+Z48</f>
        <v>#REF!</v>
      </c>
      <c r="AA50" s="24" t="e">
        <f>AA45+#REF!+AA48</f>
        <v>#REF!</v>
      </c>
      <c r="AB50" s="24" t="e">
        <f>AB45+#REF!+AB48</f>
        <v>#REF!</v>
      </c>
      <c r="AC50" s="24" t="e">
        <f>AC45+#REF!+AC48</f>
        <v>#REF!</v>
      </c>
      <c r="AD50" s="24" t="e">
        <f>AD45+#REF!+AD48</f>
        <v>#REF!</v>
      </c>
      <c r="AE50" s="24" t="e">
        <f>AE45+#REF!+AE48</f>
        <v>#REF!</v>
      </c>
      <c r="AF50" s="24" t="e">
        <f>AF45+#REF!+AF48</f>
        <v>#REF!</v>
      </c>
      <c r="AG50" s="24" t="e">
        <f>AG45+#REF!+AG48</f>
        <v>#REF!</v>
      </c>
      <c r="AH50" s="24" t="e">
        <f>AH45+#REF!+AH48</f>
        <v>#REF!</v>
      </c>
      <c r="AI50" s="24" t="e">
        <f>AI45+#REF!+AI48</f>
        <v>#REF!</v>
      </c>
      <c r="AJ50" s="24" t="e">
        <f>AJ45+#REF!+AJ48</f>
        <v>#REF!</v>
      </c>
      <c r="AK50" s="24" t="e">
        <f>AK45+#REF!+AK48</f>
        <v>#REF!</v>
      </c>
      <c r="AL50" s="24" t="e">
        <f>AL45+#REF!+AL48</f>
        <v>#REF!</v>
      </c>
      <c r="AM50" s="24" t="e">
        <f>AM45+#REF!+AM48</f>
        <v>#REF!</v>
      </c>
      <c r="AN50" s="779"/>
    </row>
    <row r="51" spans="1:40" ht="13.5" hidden="1" thickBot="1">
      <c r="A51" s="806"/>
      <c r="B51" s="738"/>
      <c r="C51" s="805"/>
      <c r="D51" s="771"/>
      <c r="E51" s="777"/>
      <c r="F51" s="116">
        <f>F46+F48</f>
        <v>0</v>
      </c>
      <c r="G51" s="36" t="s">
        <v>26</v>
      </c>
      <c r="H51" s="37"/>
      <c r="I51" s="119"/>
      <c r="J51" s="29"/>
      <c r="K51" s="29"/>
      <c r="L51" s="29"/>
      <c r="M51" s="29"/>
      <c r="N51" s="29"/>
      <c r="O51" s="29">
        <f aca="true" t="shared" si="10" ref="O51:AM51">O46+O47+O49</f>
        <v>0</v>
      </c>
      <c r="P51" s="29">
        <f t="shared" si="10"/>
        <v>0</v>
      </c>
      <c r="Q51" s="29">
        <f t="shared" si="10"/>
        <v>0</v>
      </c>
      <c r="R51" s="29">
        <f t="shared" si="10"/>
        <v>0</v>
      </c>
      <c r="S51" s="29">
        <f t="shared" si="10"/>
        <v>0</v>
      </c>
      <c r="T51" s="29">
        <f t="shared" si="10"/>
        <v>0</v>
      </c>
      <c r="U51" s="29">
        <f t="shared" si="10"/>
        <v>0</v>
      </c>
      <c r="V51" s="29">
        <f t="shared" si="10"/>
        <v>0</v>
      </c>
      <c r="W51" s="29">
        <f t="shared" si="10"/>
        <v>0</v>
      </c>
      <c r="X51" s="29">
        <f t="shared" si="10"/>
        <v>0</v>
      </c>
      <c r="Y51" s="29">
        <f t="shared" si="10"/>
        <v>0</v>
      </c>
      <c r="Z51" s="29">
        <f t="shared" si="10"/>
        <v>0</v>
      </c>
      <c r="AA51" s="29">
        <f t="shared" si="10"/>
        <v>0</v>
      </c>
      <c r="AB51" s="29">
        <f t="shared" si="10"/>
        <v>0</v>
      </c>
      <c r="AC51" s="29">
        <f t="shared" si="10"/>
        <v>0</v>
      </c>
      <c r="AD51" s="29">
        <f t="shared" si="10"/>
        <v>0</v>
      </c>
      <c r="AE51" s="29">
        <f t="shared" si="10"/>
        <v>0</v>
      </c>
      <c r="AF51" s="29">
        <f t="shared" si="10"/>
        <v>0</v>
      </c>
      <c r="AG51" s="29">
        <f t="shared" si="10"/>
        <v>0</v>
      </c>
      <c r="AH51" s="29">
        <f t="shared" si="10"/>
        <v>0</v>
      </c>
      <c r="AI51" s="29">
        <f t="shared" si="10"/>
        <v>0</v>
      </c>
      <c r="AJ51" s="29">
        <f t="shared" si="10"/>
        <v>0</v>
      </c>
      <c r="AK51" s="29">
        <f t="shared" si="10"/>
        <v>0</v>
      </c>
      <c r="AL51" s="29">
        <f t="shared" si="10"/>
        <v>0</v>
      </c>
      <c r="AM51" s="29">
        <f t="shared" si="10"/>
        <v>0</v>
      </c>
      <c r="AN51" s="780"/>
    </row>
    <row r="52" spans="1:40" ht="12.75" customHeight="1">
      <c r="A52" s="773">
        <v>6</v>
      </c>
      <c r="B52" s="752" t="s">
        <v>129</v>
      </c>
      <c r="C52" s="804">
        <v>60015</v>
      </c>
      <c r="D52" s="783" t="s">
        <v>164</v>
      </c>
      <c r="E52" s="775">
        <v>2010</v>
      </c>
      <c r="F52" s="8" t="s">
        <v>14</v>
      </c>
      <c r="G52" s="32" t="s">
        <v>15</v>
      </c>
      <c r="H52" s="33"/>
      <c r="I52" s="118"/>
      <c r="J52" s="34"/>
      <c r="K52" s="34"/>
      <c r="L52" s="34"/>
      <c r="M52" s="34"/>
      <c r="N52" s="34"/>
      <c r="O52" s="34"/>
      <c r="P52" s="34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803">
        <f>SUM(J59:AM59)</f>
        <v>63000000</v>
      </c>
    </row>
    <row r="53" spans="1:40" ht="12.75">
      <c r="A53" s="774"/>
      <c r="B53" s="737"/>
      <c r="C53" s="782"/>
      <c r="D53" s="784"/>
      <c r="E53" s="776"/>
      <c r="F53" s="746">
        <f>SUM(H58:AM58)</f>
        <v>0</v>
      </c>
      <c r="G53" s="15" t="s">
        <v>16</v>
      </c>
      <c r="H53" s="16">
        <v>4000000</v>
      </c>
      <c r="I53" s="114">
        <f>30000000+12000000</f>
        <v>42000000</v>
      </c>
      <c r="J53" s="18">
        <v>13000000</v>
      </c>
      <c r="K53" s="18">
        <v>10500000</v>
      </c>
      <c r="L53" s="18">
        <v>30000000</v>
      </c>
      <c r="M53" s="18">
        <v>9500000</v>
      </c>
      <c r="N53" s="18"/>
      <c r="O53" s="18"/>
      <c r="P53" s="18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779"/>
    </row>
    <row r="54" spans="1:40" ht="12.75">
      <c r="A54" s="774"/>
      <c r="B54" s="737"/>
      <c r="C54" s="782"/>
      <c r="D54" s="784"/>
      <c r="E54" s="776"/>
      <c r="F54" s="781"/>
      <c r="G54" s="15" t="s">
        <v>17</v>
      </c>
      <c r="H54" s="16"/>
      <c r="I54" s="114"/>
      <c r="J54" s="18"/>
      <c r="K54" s="18"/>
      <c r="L54" s="18"/>
      <c r="M54" s="18"/>
      <c r="N54" s="18"/>
      <c r="O54" s="18"/>
      <c r="P54" s="18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779"/>
    </row>
    <row r="55" spans="1:40" ht="12.75">
      <c r="A55" s="774"/>
      <c r="B55" s="737"/>
      <c r="C55" s="782"/>
      <c r="D55" s="784"/>
      <c r="E55" s="727"/>
      <c r="F55" s="21" t="s">
        <v>18</v>
      </c>
      <c r="G55" s="15" t="s">
        <v>19</v>
      </c>
      <c r="H55" s="16"/>
      <c r="I55" s="114"/>
      <c r="J55" s="18"/>
      <c r="K55" s="18"/>
      <c r="L55" s="18"/>
      <c r="M55" s="18"/>
      <c r="N55" s="18"/>
      <c r="O55" s="18"/>
      <c r="P55" s="18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779"/>
    </row>
    <row r="56" spans="1:40" ht="12.75">
      <c r="A56" s="774"/>
      <c r="B56" s="737"/>
      <c r="C56" s="782"/>
      <c r="D56" s="784"/>
      <c r="E56" s="723">
        <v>2015</v>
      </c>
      <c r="F56" s="746">
        <f>SUM(H59:AM59)</f>
        <v>109000000</v>
      </c>
      <c r="G56" s="15" t="s">
        <v>23</v>
      </c>
      <c r="H56" s="16"/>
      <c r="I56" s="114"/>
      <c r="J56" s="18"/>
      <c r="K56" s="18"/>
      <c r="L56" s="18"/>
      <c r="M56" s="18"/>
      <c r="N56" s="18"/>
      <c r="O56" s="18"/>
      <c r="P56" s="18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779"/>
    </row>
    <row r="57" spans="1:40" ht="12.75">
      <c r="A57" s="774"/>
      <c r="B57" s="737"/>
      <c r="C57" s="782"/>
      <c r="D57" s="784"/>
      <c r="E57" s="776"/>
      <c r="F57" s="781"/>
      <c r="G57" s="15" t="s">
        <v>24</v>
      </c>
      <c r="H57" s="16"/>
      <c r="I57" s="114"/>
      <c r="J57" s="18"/>
      <c r="K57" s="18"/>
      <c r="L57" s="18"/>
      <c r="M57" s="18"/>
      <c r="N57" s="18"/>
      <c r="O57" s="18"/>
      <c r="P57" s="18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779"/>
    </row>
    <row r="58" spans="1:40" ht="12.75">
      <c r="A58" s="774"/>
      <c r="B58" s="737"/>
      <c r="C58" s="782"/>
      <c r="D58" s="784"/>
      <c r="E58" s="776"/>
      <c r="F58" s="21" t="s">
        <v>22</v>
      </c>
      <c r="G58" s="15" t="s">
        <v>25</v>
      </c>
      <c r="H58" s="22">
        <f aca="true" t="shared" si="11" ref="H58:AM58">H52+H54+H56</f>
        <v>0</v>
      </c>
      <c r="I58" s="115">
        <f t="shared" si="11"/>
        <v>0</v>
      </c>
      <c r="J58" s="24">
        <f t="shared" si="11"/>
        <v>0</v>
      </c>
      <c r="K58" s="24">
        <f t="shared" si="11"/>
        <v>0</v>
      </c>
      <c r="L58" s="24">
        <f t="shared" si="11"/>
        <v>0</v>
      </c>
      <c r="M58" s="24">
        <f t="shared" si="11"/>
        <v>0</v>
      </c>
      <c r="N58" s="24">
        <f t="shared" si="11"/>
        <v>0</v>
      </c>
      <c r="O58" s="24">
        <f t="shared" si="11"/>
        <v>0</v>
      </c>
      <c r="P58" s="24">
        <f t="shared" si="11"/>
        <v>0</v>
      </c>
      <c r="Q58" s="24">
        <f t="shared" si="11"/>
        <v>0</v>
      </c>
      <c r="R58" s="24">
        <f t="shared" si="11"/>
        <v>0</v>
      </c>
      <c r="S58" s="24">
        <f t="shared" si="11"/>
        <v>0</v>
      </c>
      <c r="T58" s="24">
        <f t="shared" si="11"/>
        <v>0</v>
      </c>
      <c r="U58" s="24">
        <f t="shared" si="11"/>
        <v>0</v>
      </c>
      <c r="V58" s="24">
        <f t="shared" si="11"/>
        <v>0</v>
      </c>
      <c r="W58" s="24">
        <f t="shared" si="11"/>
        <v>0</v>
      </c>
      <c r="X58" s="24">
        <f t="shared" si="11"/>
        <v>0</v>
      </c>
      <c r="Y58" s="24">
        <f t="shared" si="11"/>
        <v>0</v>
      </c>
      <c r="Z58" s="24">
        <f t="shared" si="11"/>
        <v>0</v>
      </c>
      <c r="AA58" s="24">
        <f t="shared" si="11"/>
        <v>0</v>
      </c>
      <c r="AB58" s="24">
        <f t="shared" si="11"/>
        <v>0</v>
      </c>
      <c r="AC58" s="24">
        <f t="shared" si="11"/>
        <v>0</v>
      </c>
      <c r="AD58" s="24">
        <f t="shared" si="11"/>
        <v>0</v>
      </c>
      <c r="AE58" s="24">
        <f t="shared" si="11"/>
        <v>0</v>
      </c>
      <c r="AF58" s="24">
        <f t="shared" si="11"/>
        <v>0</v>
      </c>
      <c r="AG58" s="24">
        <f t="shared" si="11"/>
        <v>0</v>
      </c>
      <c r="AH58" s="24">
        <f t="shared" si="11"/>
        <v>0</v>
      </c>
      <c r="AI58" s="24">
        <f t="shared" si="11"/>
        <v>0</v>
      </c>
      <c r="AJ58" s="24">
        <f t="shared" si="11"/>
        <v>0</v>
      </c>
      <c r="AK58" s="24">
        <f t="shared" si="11"/>
        <v>0</v>
      </c>
      <c r="AL58" s="24">
        <f t="shared" si="11"/>
        <v>0</v>
      </c>
      <c r="AM58" s="24">
        <f t="shared" si="11"/>
        <v>0</v>
      </c>
      <c r="AN58" s="779"/>
    </row>
    <row r="59" spans="1:40" ht="13.5" thickBot="1">
      <c r="A59" s="806"/>
      <c r="B59" s="738"/>
      <c r="C59" s="805"/>
      <c r="D59" s="784"/>
      <c r="E59" s="777"/>
      <c r="F59" s="116">
        <f>F53+F56</f>
        <v>109000000</v>
      </c>
      <c r="G59" s="36" t="s">
        <v>26</v>
      </c>
      <c r="H59" s="37">
        <f aca="true" t="shared" si="12" ref="H59:AM59">H53+H55+H57</f>
        <v>4000000</v>
      </c>
      <c r="I59" s="119">
        <f t="shared" si="12"/>
        <v>42000000</v>
      </c>
      <c r="J59" s="29">
        <f t="shared" si="12"/>
        <v>13000000</v>
      </c>
      <c r="K59" s="29">
        <f t="shared" si="12"/>
        <v>10500000</v>
      </c>
      <c r="L59" s="29">
        <f t="shared" si="12"/>
        <v>30000000</v>
      </c>
      <c r="M59" s="29">
        <f t="shared" si="12"/>
        <v>9500000</v>
      </c>
      <c r="N59" s="29">
        <f t="shared" si="12"/>
        <v>0</v>
      </c>
      <c r="O59" s="29">
        <f t="shared" si="12"/>
        <v>0</v>
      </c>
      <c r="P59" s="29">
        <f t="shared" si="12"/>
        <v>0</v>
      </c>
      <c r="Q59" s="29">
        <f t="shared" si="12"/>
        <v>0</v>
      </c>
      <c r="R59" s="29">
        <f t="shared" si="12"/>
        <v>0</v>
      </c>
      <c r="S59" s="29">
        <f t="shared" si="12"/>
        <v>0</v>
      </c>
      <c r="T59" s="29">
        <f t="shared" si="12"/>
        <v>0</v>
      </c>
      <c r="U59" s="29">
        <f t="shared" si="12"/>
        <v>0</v>
      </c>
      <c r="V59" s="29">
        <f t="shared" si="12"/>
        <v>0</v>
      </c>
      <c r="W59" s="29">
        <f t="shared" si="12"/>
        <v>0</v>
      </c>
      <c r="X59" s="29">
        <f t="shared" si="12"/>
        <v>0</v>
      </c>
      <c r="Y59" s="29">
        <f t="shared" si="12"/>
        <v>0</v>
      </c>
      <c r="Z59" s="29">
        <f t="shared" si="12"/>
        <v>0</v>
      </c>
      <c r="AA59" s="29">
        <f t="shared" si="12"/>
        <v>0</v>
      </c>
      <c r="AB59" s="29">
        <f t="shared" si="12"/>
        <v>0</v>
      </c>
      <c r="AC59" s="29">
        <f t="shared" si="12"/>
        <v>0</v>
      </c>
      <c r="AD59" s="29">
        <f t="shared" si="12"/>
        <v>0</v>
      </c>
      <c r="AE59" s="29">
        <f t="shared" si="12"/>
        <v>0</v>
      </c>
      <c r="AF59" s="29">
        <f t="shared" si="12"/>
        <v>0</v>
      </c>
      <c r="AG59" s="29">
        <f t="shared" si="12"/>
        <v>0</v>
      </c>
      <c r="AH59" s="29">
        <f t="shared" si="12"/>
        <v>0</v>
      </c>
      <c r="AI59" s="29">
        <f t="shared" si="12"/>
        <v>0</v>
      </c>
      <c r="AJ59" s="29">
        <f t="shared" si="12"/>
        <v>0</v>
      </c>
      <c r="AK59" s="29">
        <f t="shared" si="12"/>
        <v>0</v>
      </c>
      <c r="AL59" s="29">
        <f t="shared" si="12"/>
        <v>0</v>
      </c>
      <c r="AM59" s="29">
        <f t="shared" si="12"/>
        <v>0</v>
      </c>
      <c r="AN59" s="780"/>
    </row>
    <row r="60" spans="1:40" ht="12.75" customHeight="1">
      <c r="A60" s="773">
        <v>7</v>
      </c>
      <c r="B60" s="752" t="s">
        <v>130</v>
      </c>
      <c r="C60" s="804">
        <v>60015</v>
      </c>
      <c r="D60" s="783" t="s">
        <v>164</v>
      </c>
      <c r="E60" s="776"/>
      <c r="F60" s="8" t="s">
        <v>14</v>
      </c>
      <c r="G60" s="9" t="s">
        <v>15</v>
      </c>
      <c r="H60" s="33"/>
      <c r="I60" s="113"/>
      <c r="J60" s="12"/>
      <c r="K60" s="12"/>
      <c r="L60" s="12"/>
      <c r="M60" s="12"/>
      <c r="N60" s="12"/>
      <c r="O60" s="12"/>
      <c r="P60" s="12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803">
        <f>SUM(J67:AM67)</f>
        <v>1000000</v>
      </c>
    </row>
    <row r="61" spans="1:40" ht="12.75">
      <c r="A61" s="774"/>
      <c r="B61" s="737"/>
      <c r="C61" s="782"/>
      <c r="D61" s="784"/>
      <c r="E61" s="776"/>
      <c r="F61" s="746">
        <f>SUM(H66:AM66)</f>
        <v>0</v>
      </c>
      <c r="G61" s="15" t="s">
        <v>16</v>
      </c>
      <c r="H61" s="16"/>
      <c r="I61" s="114">
        <f>500000+850000</f>
        <v>1350000</v>
      </c>
      <c r="J61" s="18">
        <v>500000</v>
      </c>
      <c r="K61" s="18">
        <v>500000</v>
      </c>
      <c r="L61" s="18"/>
      <c r="M61" s="18"/>
      <c r="N61" s="18"/>
      <c r="O61" s="18"/>
      <c r="P61" s="18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779"/>
    </row>
    <row r="62" spans="1:40" ht="12.75">
      <c r="A62" s="774"/>
      <c r="B62" s="737"/>
      <c r="C62" s="782"/>
      <c r="D62" s="784"/>
      <c r="E62" s="776"/>
      <c r="F62" s="781"/>
      <c r="G62" s="15" t="s">
        <v>17</v>
      </c>
      <c r="H62" s="16"/>
      <c r="I62" s="114"/>
      <c r="J62" s="18"/>
      <c r="K62" s="18"/>
      <c r="L62" s="18"/>
      <c r="M62" s="18"/>
      <c r="N62" s="18"/>
      <c r="O62" s="18"/>
      <c r="P62" s="18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779"/>
    </row>
    <row r="63" spans="1:40" ht="12.75">
      <c r="A63" s="774"/>
      <c r="B63" s="737"/>
      <c r="C63" s="782"/>
      <c r="D63" s="784"/>
      <c r="E63" s="727"/>
      <c r="F63" s="21" t="s">
        <v>18</v>
      </c>
      <c r="G63" s="15" t="s">
        <v>19</v>
      </c>
      <c r="H63" s="16"/>
      <c r="I63" s="114"/>
      <c r="J63" s="18"/>
      <c r="K63" s="18"/>
      <c r="L63" s="18"/>
      <c r="M63" s="18"/>
      <c r="N63" s="18"/>
      <c r="O63" s="18"/>
      <c r="P63" s="18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779"/>
    </row>
    <row r="64" spans="1:40" ht="12.75">
      <c r="A64" s="774"/>
      <c r="B64" s="737"/>
      <c r="C64" s="782"/>
      <c r="D64" s="784"/>
      <c r="E64" s="723"/>
      <c r="F64" s="746">
        <f>SUM(H67:AM67)</f>
        <v>2350000</v>
      </c>
      <c r="G64" s="15" t="s">
        <v>23</v>
      </c>
      <c r="H64" s="16"/>
      <c r="I64" s="114"/>
      <c r="J64" s="18"/>
      <c r="K64" s="18"/>
      <c r="L64" s="18"/>
      <c r="M64" s="18"/>
      <c r="N64" s="18"/>
      <c r="O64" s="18"/>
      <c r="P64" s="18"/>
      <c r="Q64" s="19"/>
      <c r="R64" s="19"/>
      <c r="S64" s="19"/>
      <c r="T64" s="19"/>
      <c r="U64" s="18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779"/>
    </row>
    <row r="65" spans="1:40" ht="12.75">
      <c r="A65" s="774"/>
      <c r="B65" s="737"/>
      <c r="C65" s="782"/>
      <c r="D65" s="784"/>
      <c r="E65" s="776"/>
      <c r="F65" s="781"/>
      <c r="G65" s="15" t="s">
        <v>24</v>
      </c>
      <c r="H65" s="16"/>
      <c r="I65" s="114"/>
      <c r="J65" s="18"/>
      <c r="K65" s="18"/>
      <c r="L65" s="18"/>
      <c r="M65" s="18"/>
      <c r="N65" s="18"/>
      <c r="O65" s="18"/>
      <c r="P65" s="18"/>
      <c r="Q65" s="19"/>
      <c r="R65" s="19"/>
      <c r="S65" s="19"/>
      <c r="T65" s="19"/>
      <c r="U65" s="18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779"/>
    </row>
    <row r="66" spans="1:40" ht="12.75">
      <c r="A66" s="774"/>
      <c r="B66" s="737"/>
      <c r="C66" s="782"/>
      <c r="D66" s="784"/>
      <c r="E66" s="776"/>
      <c r="F66" s="21" t="s">
        <v>22</v>
      </c>
      <c r="G66" s="15" t="s">
        <v>25</v>
      </c>
      <c r="H66" s="22">
        <f aca="true" t="shared" si="13" ref="H66:AM66">H60+H62+H64</f>
        <v>0</v>
      </c>
      <c r="I66" s="115">
        <f t="shared" si="13"/>
        <v>0</v>
      </c>
      <c r="J66" s="24">
        <f t="shared" si="13"/>
        <v>0</v>
      </c>
      <c r="K66" s="24">
        <f t="shared" si="13"/>
        <v>0</v>
      </c>
      <c r="L66" s="24">
        <f t="shared" si="13"/>
        <v>0</v>
      </c>
      <c r="M66" s="24">
        <f t="shared" si="13"/>
        <v>0</v>
      </c>
      <c r="N66" s="24">
        <f t="shared" si="13"/>
        <v>0</v>
      </c>
      <c r="O66" s="24">
        <f t="shared" si="13"/>
        <v>0</v>
      </c>
      <c r="P66" s="24">
        <f t="shared" si="13"/>
        <v>0</v>
      </c>
      <c r="Q66" s="24">
        <f t="shared" si="13"/>
        <v>0</v>
      </c>
      <c r="R66" s="24">
        <f t="shared" si="13"/>
        <v>0</v>
      </c>
      <c r="S66" s="24">
        <f t="shared" si="13"/>
        <v>0</v>
      </c>
      <c r="T66" s="24">
        <f t="shared" si="13"/>
        <v>0</v>
      </c>
      <c r="U66" s="24">
        <f t="shared" si="13"/>
        <v>0</v>
      </c>
      <c r="V66" s="24">
        <f t="shared" si="13"/>
        <v>0</v>
      </c>
      <c r="W66" s="24">
        <f t="shared" si="13"/>
        <v>0</v>
      </c>
      <c r="X66" s="24">
        <f t="shared" si="13"/>
        <v>0</v>
      </c>
      <c r="Y66" s="24">
        <f t="shared" si="13"/>
        <v>0</v>
      </c>
      <c r="Z66" s="24">
        <f t="shared" si="13"/>
        <v>0</v>
      </c>
      <c r="AA66" s="24">
        <f t="shared" si="13"/>
        <v>0</v>
      </c>
      <c r="AB66" s="24">
        <f t="shared" si="13"/>
        <v>0</v>
      </c>
      <c r="AC66" s="24">
        <f t="shared" si="13"/>
        <v>0</v>
      </c>
      <c r="AD66" s="24">
        <f t="shared" si="13"/>
        <v>0</v>
      </c>
      <c r="AE66" s="24">
        <f t="shared" si="13"/>
        <v>0</v>
      </c>
      <c r="AF66" s="24">
        <f t="shared" si="13"/>
        <v>0</v>
      </c>
      <c r="AG66" s="24">
        <f t="shared" si="13"/>
        <v>0</v>
      </c>
      <c r="AH66" s="24">
        <f t="shared" si="13"/>
        <v>0</v>
      </c>
      <c r="AI66" s="24">
        <f t="shared" si="13"/>
        <v>0</v>
      </c>
      <c r="AJ66" s="24">
        <f t="shared" si="13"/>
        <v>0</v>
      </c>
      <c r="AK66" s="24">
        <f t="shared" si="13"/>
        <v>0</v>
      </c>
      <c r="AL66" s="24">
        <f t="shared" si="13"/>
        <v>0</v>
      </c>
      <c r="AM66" s="24">
        <f t="shared" si="13"/>
        <v>0</v>
      </c>
      <c r="AN66" s="779"/>
    </row>
    <row r="67" spans="1:40" ht="13.5" thickBot="1">
      <c r="A67" s="774"/>
      <c r="B67" s="738"/>
      <c r="C67" s="805"/>
      <c r="D67" s="784"/>
      <c r="E67" s="777"/>
      <c r="F67" s="116">
        <f>F61+F64</f>
        <v>2350000</v>
      </c>
      <c r="G67" s="36" t="s">
        <v>26</v>
      </c>
      <c r="H67" s="37">
        <f aca="true" t="shared" si="14" ref="H67:AM67">H61+H63+H65</f>
        <v>0</v>
      </c>
      <c r="I67" s="119">
        <f t="shared" si="14"/>
        <v>1350000</v>
      </c>
      <c r="J67" s="29">
        <f t="shared" si="14"/>
        <v>500000</v>
      </c>
      <c r="K67" s="29">
        <f t="shared" si="14"/>
        <v>500000</v>
      </c>
      <c r="L67" s="29">
        <f t="shared" si="14"/>
        <v>0</v>
      </c>
      <c r="M67" s="29">
        <f t="shared" si="14"/>
        <v>0</v>
      </c>
      <c r="N67" s="29">
        <f t="shared" si="14"/>
        <v>0</v>
      </c>
      <c r="O67" s="29">
        <f t="shared" si="14"/>
        <v>0</v>
      </c>
      <c r="P67" s="29">
        <f t="shared" si="14"/>
        <v>0</v>
      </c>
      <c r="Q67" s="29">
        <f t="shared" si="14"/>
        <v>0</v>
      </c>
      <c r="R67" s="29">
        <f t="shared" si="14"/>
        <v>0</v>
      </c>
      <c r="S67" s="29">
        <f t="shared" si="14"/>
        <v>0</v>
      </c>
      <c r="T67" s="29">
        <f t="shared" si="14"/>
        <v>0</v>
      </c>
      <c r="U67" s="29">
        <f t="shared" si="14"/>
        <v>0</v>
      </c>
      <c r="V67" s="30">
        <f t="shared" si="14"/>
        <v>0</v>
      </c>
      <c r="W67" s="30">
        <f t="shared" si="14"/>
        <v>0</v>
      </c>
      <c r="X67" s="30">
        <f t="shared" si="14"/>
        <v>0</v>
      </c>
      <c r="Y67" s="30">
        <f t="shared" si="14"/>
        <v>0</v>
      </c>
      <c r="Z67" s="30">
        <f t="shared" si="14"/>
        <v>0</v>
      </c>
      <c r="AA67" s="30">
        <f t="shared" si="14"/>
        <v>0</v>
      </c>
      <c r="AB67" s="30">
        <f t="shared" si="14"/>
        <v>0</v>
      </c>
      <c r="AC67" s="30">
        <f t="shared" si="14"/>
        <v>0</v>
      </c>
      <c r="AD67" s="30">
        <f t="shared" si="14"/>
        <v>0</v>
      </c>
      <c r="AE67" s="30">
        <f t="shared" si="14"/>
        <v>0</v>
      </c>
      <c r="AF67" s="30">
        <f t="shared" si="14"/>
        <v>0</v>
      </c>
      <c r="AG67" s="30">
        <f t="shared" si="14"/>
        <v>0</v>
      </c>
      <c r="AH67" s="30">
        <f t="shared" si="14"/>
        <v>0</v>
      </c>
      <c r="AI67" s="30">
        <f t="shared" si="14"/>
        <v>0</v>
      </c>
      <c r="AJ67" s="30">
        <f t="shared" si="14"/>
        <v>0</v>
      </c>
      <c r="AK67" s="30">
        <f t="shared" si="14"/>
        <v>0</v>
      </c>
      <c r="AL67" s="30">
        <f t="shared" si="14"/>
        <v>0</v>
      </c>
      <c r="AM67" s="30">
        <f t="shared" si="14"/>
        <v>0</v>
      </c>
      <c r="AN67" s="780"/>
    </row>
    <row r="68" spans="1:40" ht="12.75" customHeight="1">
      <c r="A68" s="773">
        <v>8</v>
      </c>
      <c r="B68" s="737" t="s">
        <v>131</v>
      </c>
      <c r="C68" s="782">
        <v>60015</v>
      </c>
      <c r="D68" s="783" t="s">
        <v>164</v>
      </c>
      <c r="E68" s="776"/>
      <c r="F68" s="20" t="s">
        <v>14</v>
      </c>
      <c r="G68" s="9" t="s">
        <v>15</v>
      </c>
      <c r="H68" s="10"/>
      <c r="I68" s="113"/>
      <c r="J68" s="12"/>
      <c r="K68" s="12"/>
      <c r="L68" s="12"/>
      <c r="M68" s="12"/>
      <c r="N68" s="12"/>
      <c r="O68" s="12"/>
      <c r="P68" s="12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803">
        <f>SUM(J75:AM75)</f>
        <v>5000000</v>
      </c>
    </row>
    <row r="69" spans="1:40" ht="12.75">
      <c r="A69" s="774"/>
      <c r="B69" s="737"/>
      <c r="C69" s="782"/>
      <c r="D69" s="784"/>
      <c r="E69" s="776"/>
      <c r="F69" s="746">
        <f>SUM(H74:AM74)</f>
        <v>0</v>
      </c>
      <c r="G69" s="15" t="s">
        <v>16</v>
      </c>
      <c r="H69" s="16"/>
      <c r="I69" s="114">
        <v>2000000</v>
      </c>
      <c r="J69" s="18">
        <v>2000000</v>
      </c>
      <c r="K69" s="18">
        <v>3000000</v>
      </c>
      <c r="L69" s="18"/>
      <c r="M69" s="18"/>
      <c r="N69" s="18"/>
      <c r="O69" s="18"/>
      <c r="P69" s="18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779"/>
    </row>
    <row r="70" spans="1:40" ht="12.75">
      <c r="A70" s="774"/>
      <c r="B70" s="737"/>
      <c r="C70" s="782"/>
      <c r="D70" s="784"/>
      <c r="E70" s="776"/>
      <c r="F70" s="781"/>
      <c r="G70" s="15" t="s">
        <v>17</v>
      </c>
      <c r="H70" s="16"/>
      <c r="I70" s="114"/>
      <c r="J70" s="18"/>
      <c r="K70" s="18"/>
      <c r="L70" s="18"/>
      <c r="M70" s="18"/>
      <c r="N70" s="18"/>
      <c r="O70" s="18"/>
      <c r="P70" s="18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779"/>
    </row>
    <row r="71" spans="1:40" ht="12.75">
      <c r="A71" s="774"/>
      <c r="B71" s="737"/>
      <c r="C71" s="782"/>
      <c r="D71" s="784"/>
      <c r="E71" s="727"/>
      <c r="F71" s="21" t="s">
        <v>18</v>
      </c>
      <c r="G71" s="15" t="s">
        <v>19</v>
      </c>
      <c r="H71" s="16"/>
      <c r="I71" s="114"/>
      <c r="J71" s="18"/>
      <c r="K71" s="18"/>
      <c r="L71" s="18"/>
      <c r="M71" s="18"/>
      <c r="N71" s="18"/>
      <c r="O71" s="18"/>
      <c r="P71" s="18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779"/>
    </row>
    <row r="72" spans="1:40" ht="12.75">
      <c r="A72" s="774"/>
      <c r="B72" s="737"/>
      <c r="C72" s="782"/>
      <c r="D72" s="784"/>
      <c r="E72" s="723"/>
      <c r="F72" s="746">
        <f>SUM(H75:AM75)</f>
        <v>7000000</v>
      </c>
      <c r="G72" s="15" t="s">
        <v>23</v>
      </c>
      <c r="H72" s="16"/>
      <c r="I72" s="114"/>
      <c r="J72" s="18"/>
      <c r="K72" s="18"/>
      <c r="L72" s="18"/>
      <c r="M72" s="18"/>
      <c r="N72" s="18"/>
      <c r="O72" s="18"/>
      <c r="P72" s="18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779"/>
    </row>
    <row r="73" spans="1:40" ht="12.75">
      <c r="A73" s="774"/>
      <c r="B73" s="737"/>
      <c r="C73" s="782"/>
      <c r="D73" s="784"/>
      <c r="E73" s="776"/>
      <c r="F73" s="781"/>
      <c r="G73" s="15" t="s">
        <v>24</v>
      </c>
      <c r="H73" s="16"/>
      <c r="I73" s="114"/>
      <c r="J73" s="18"/>
      <c r="K73" s="18"/>
      <c r="L73" s="18"/>
      <c r="M73" s="18"/>
      <c r="N73" s="18"/>
      <c r="O73" s="18"/>
      <c r="P73" s="18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779"/>
    </row>
    <row r="74" spans="1:40" ht="12.75">
      <c r="A74" s="774"/>
      <c r="B74" s="737"/>
      <c r="C74" s="782"/>
      <c r="D74" s="784"/>
      <c r="E74" s="776"/>
      <c r="F74" s="21" t="s">
        <v>22</v>
      </c>
      <c r="G74" s="15" t="s">
        <v>25</v>
      </c>
      <c r="H74" s="22">
        <f aca="true" t="shared" si="15" ref="H74:AM74">H68+H70+H72</f>
        <v>0</v>
      </c>
      <c r="I74" s="115">
        <f t="shared" si="15"/>
        <v>0</v>
      </c>
      <c r="J74" s="24">
        <f t="shared" si="15"/>
        <v>0</v>
      </c>
      <c r="K74" s="24">
        <f t="shared" si="15"/>
        <v>0</v>
      </c>
      <c r="L74" s="24">
        <f t="shared" si="15"/>
        <v>0</v>
      </c>
      <c r="M74" s="24">
        <f t="shared" si="15"/>
        <v>0</v>
      </c>
      <c r="N74" s="24">
        <f t="shared" si="15"/>
        <v>0</v>
      </c>
      <c r="O74" s="24">
        <f t="shared" si="15"/>
        <v>0</v>
      </c>
      <c r="P74" s="24">
        <f t="shared" si="15"/>
        <v>0</v>
      </c>
      <c r="Q74" s="24">
        <f t="shared" si="15"/>
        <v>0</v>
      </c>
      <c r="R74" s="24">
        <f t="shared" si="15"/>
        <v>0</v>
      </c>
      <c r="S74" s="24">
        <f t="shared" si="15"/>
        <v>0</v>
      </c>
      <c r="T74" s="24">
        <f t="shared" si="15"/>
        <v>0</v>
      </c>
      <c r="U74" s="24">
        <f t="shared" si="15"/>
        <v>0</v>
      </c>
      <c r="V74" s="24">
        <f t="shared" si="15"/>
        <v>0</v>
      </c>
      <c r="W74" s="24">
        <f t="shared" si="15"/>
        <v>0</v>
      </c>
      <c r="X74" s="24">
        <f t="shared" si="15"/>
        <v>0</v>
      </c>
      <c r="Y74" s="24">
        <f t="shared" si="15"/>
        <v>0</v>
      </c>
      <c r="Z74" s="24">
        <f t="shared" si="15"/>
        <v>0</v>
      </c>
      <c r="AA74" s="24">
        <f t="shared" si="15"/>
        <v>0</v>
      </c>
      <c r="AB74" s="24">
        <f t="shared" si="15"/>
        <v>0</v>
      </c>
      <c r="AC74" s="24">
        <f t="shared" si="15"/>
        <v>0</v>
      </c>
      <c r="AD74" s="24">
        <f t="shared" si="15"/>
        <v>0</v>
      </c>
      <c r="AE74" s="24">
        <f t="shared" si="15"/>
        <v>0</v>
      </c>
      <c r="AF74" s="24">
        <f t="shared" si="15"/>
        <v>0</v>
      </c>
      <c r="AG74" s="24">
        <f t="shared" si="15"/>
        <v>0</v>
      </c>
      <c r="AH74" s="24">
        <f t="shared" si="15"/>
        <v>0</v>
      </c>
      <c r="AI74" s="24">
        <f t="shared" si="15"/>
        <v>0</v>
      </c>
      <c r="AJ74" s="24">
        <f t="shared" si="15"/>
        <v>0</v>
      </c>
      <c r="AK74" s="24">
        <f t="shared" si="15"/>
        <v>0</v>
      </c>
      <c r="AL74" s="24">
        <f t="shared" si="15"/>
        <v>0</v>
      </c>
      <c r="AM74" s="24">
        <f t="shared" si="15"/>
        <v>0</v>
      </c>
      <c r="AN74" s="779"/>
    </row>
    <row r="75" spans="1:40" ht="13.5" thickBot="1">
      <c r="A75" s="774"/>
      <c r="B75" s="737"/>
      <c r="C75" s="782"/>
      <c r="D75" s="784"/>
      <c r="E75" s="776"/>
      <c r="F75" s="116">
        <f>F69+F72</f>
        <v>7000000</v>
      </c>
      <c r="G75" s="26" t="s">
        <v>26</v>
      </c>
      <c r="H75" s="37">
        <f aca="true" t="shared" si="16" ref="H75:AM75">H69+H71+H73</f>
        <v>0</v>
      </c>
      <c r="I75" s="117">
        <f t="shared" si="16"/>
        <v>2000000</v>
      </c>
      <c r="J75" s="30">
        <f t="shared" si="16"/>
        <v>2000000</v>
      </c>
      <c r="K75" s="30">
        <f t="shared" si="16"/>
        <v>3000000</v>
      </c>
      <c r="L75" s="30">
        <f t="shared" si="16"/>
        <v>0</v>
      </c>
      <c r="M75" s="30">
        <f t="shared" si="16"/>
        <v>0</v>
      </c>
      <c r="N75" s="30">
        <f t="shared" si="16"/>
        <v>0</v>
      </c>
      <c r="O75" s="30">
        <f t="shared" si="16"/>
        <v>0</v>
      </c>
      <c r="P75" s="30">
        <f t="shared" si="16"/>
        <v>0</v>
      </c>
      <c r="Q75" s="30">
        <f t="shared" si="16"/>
        <v>0</v>
      </c>
      <c r="R75" s="30">
        <f t="shared" si="16"/>
        <v>0</v>
      </c>
      <c r="S75" s="30">
        <f t="shared" si="16"/>
        <v>0</v>
      </c>
      <c r="T75" s="30">
        <f t="shared" si="16"/>
        <v>0</v>
      </c>
      <c r="U75" s="30">
        <f t="shared" si="16"/>
        <v>0</v>
      </c>
      <c r="V75" s="30">
        <f t="shared" si="16"/>
        <v>0</v>
      </c>
      <c r="W75" s="30">
        <f t="shared" si="16"/>
        <v>0</v>
      </c>
      <c r="X75" s="30">
        <f t="shared" si="16"/>
        <v>0</v>
      </c>
      <c r="Y75" s="30">
        <f t="shared" si="16"/>
        <v>0</v>
      </c>
      <c r="Z75" s="30">
        <f t="shared" si="16"/>
        <v>0</v>
      </c>
      <c r="AA75" s="30">
        <f t="shared" si="16"/>
        <v>0</v>
      </c>
      <c r="AB75" s="30">
        <f t="shared" si="16"/>
        <v>0</v>
      </c>
      <c r="AC75" s="30">
        <f t="shared" si="16"/>
        <v>0</v>
      </c>
      <c r="AD75" s="30">
        <f t="shared" si="16"/>
        <v>0</v>
      </c>
      <c r="AE75" s="30">
        <f t="shared" si="16"/>
        <v>0</v>
      </c>
      <c r="AF75" s="30">
        <f t="shared" si="16"/>
        <v>0</v>
      </c>
      <c r="AG75" s="30">
        <f t="shared" si="16"/>
        <v>0</v>
      </c>
      <c r="AH75" s="30">
        <f t="shared" si="16"/>
        <v>0</v>
      </c>
      <c r="AI75" s="30">
        <f t="shared" si="16"/>
        <v>0</v>
      </c>
      <c r="AJ75" s="30">
        <f t="shared" si="16"/>
        <v>0</v>
      </c>
      <c r="AK75" s="30">
        <f t="shared" si="16"/>
        <v>0</v>
      </c>
      <c r="AL75" s="30">
        <f t="shared" si="16"/>
        <v>0</v>
      </c>
      <c r="AM75" s="30">
        <f t="shared" si="16"/>
        <v>0</v>
      </c>
      <c r="AN75" s="780"/>
    </row>
    <row r="76" spans="1:40" ht="12.75" customHeight="1">
      <c r="A76" s="773">
        <v>9</v>
      </c>
      <c r="B76" s="752" t="s">
        <v>132</v>
      </c>
      <c r="C76" s="804">
        <v>60016</v>
      </c>
      <c r="D76" s="783" t="s">
        <v>164</v>
      </c>
      <c r="E76" s="775">
        <v>2012</v>
      </c>
      <c r="F76" s="8" t="s">
        <v>14</v>
      </c>
      <c r="G76" s="32" t="s">
        <v>15</v>
      </c>
      <c r="H76" s="33"/>
      <c r="I76" s="118"/>
      <c r="J76" s="34"/>
      <c r="K76" s="34"/>
      <c r="L76" s="34"/>
      <c r="M76" s="34"/>
      <c r="N76" s="34"/>
      <c r="O76" s="34"/>
      <c r="P76" s="34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803">
        <f>SUM(J83:AM83)</f>
        <v>34200000</v>
      </c>
    </row>
    <row r="77" spans="1:40" ht="12.75">
      <c r="A77" s="774"/>
      <c r="B77" s="737"/>
      <c r="C77" s="782"/>
      <c r="D77" s="784"/>
      <c r="E77" s="776"/>
      <c r="F77" s="746">
        <f>SUM(H82:AM82)</f>
        <v>0</v>
      </c>
      <c r="G77" s="15" t="s">
        <v>16</v>
      </c>
      <c r="H77" s="16"/>
      <c r="I77" s="114">
        <f>10000000+1000000</f>
        <v>11000000</v>
      </c>
      <c r="J77" s="18">
        <f>1200000+13000000+3000000</f>
        <v>17200000</v>
      </c>
      <c r="K77" s="18">
        <f>2000000+15000000</f>
        <v>17000000</v>
      </c>
      <c r="L77" s="18"/>
      <c r="M77" s="18"/>
      <c r="N77" s="18"/>
      <c r="O77" s="18"/>
      <c r="P77" s="18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779"/>
    </row>
    <row r="78" spans="1:40" ht="12.75">
      <c r="A78" s="774"/>
      <c r="B78" s="737"/>
      <c r="C78" s="782"/>
      <c r="D78" s="784"/>
      <c r="E78" s="776"/>
      <c r="F78" s="781"/>
      <c r="G78" s="15" t="s">
        <v>17</v>
      </c>
      <c r="H78" s="16"/>
      <c r="I78" s="114"/>
      <c r="J78" s="18"/>
      <c r="K78" s="18"/>
      <c r="L78" s="18"/>
      <c r="M78" s="18"/>
      <c r="N78" s="18"/>
      <c r="O78" s="18"/>
      <c r="P78" s="18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779"/>
    </row>
    <row r="79" spans="1:40" ht="12.75">
      <c r="A79" s="774"/>
      <c r="B79" s="737"/>
      <c r="C79" s="782"/>
      <c r="D79" s="784"/>
      <c r="E79" s="727"/>
      <c r="F79" s="21" t="s">
        <v>18</v>
      </c>
      <c r="G79" s="15" t="s">
        <v>19</v>
      </c>
      <c r="H79" s="16"/>
      <c r="I79" s="114"/>
      <c r="J79" s="18"/>
      <c r="K79" s="18"/>
      <c r="L79" s="18"/>
      <c r="M79" s="18"/>
      <c r="N79" s="18"/>
      <c r="O79" s="18"/>
      <c r="P79" s="18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779"/>
    </row>
    <row r="80" spans="1:40" ht="12.75">
      <c r="A80" s="774"/>
      <c r="B80" s="737"/>
      <c r="C80" s="782"/>
      <c r="D80" s="784"/>
      <c r="E80" s="723">
        <v>2013</v>
      </c>
      <c r="F80" s="746">
        <f>SUM(H83:AM83)</f>
        <v>45200000</v>
      </c>
      <c r="G80" s="15" t="s">
        <v>23</v>
      </c>
      <c r="H80" s="16"/>
      <c r="I80" s="114"/>
      <c r="J80" s="18"/>
      <c r="K80" s="18"/>
      <c r="L80" s="18"/>
      <c r="M80" s="18"/>
      <c r="N80" s="18"/>
      <c r="O80" s="18"/>
      <c r="P80" s="18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779"/>
    </row>
    <row r="81" spans="1:40" ht="12.75">
      <c r="A81" s="774"/>
      <c r="B81" s="737"/>
      <c r="C81" s="782"/>
      <c r="D81" s="784"/>
      <c r="E81" s="776"/>
      <c r="F81" s="781"/>
      <c r="G81" s="15" t="s">
        <v>24</v>
      </c>
      <c r="H81" s="16"/>
      <c r="I81" s="114"/>
      <c r="J81" s="18"/>
      <c r="K81" s="18"/>
      <c r="L81" s="18"/>
      <c r="M81" s="18"/>
      <c r="N81" s="18"/>
      <c r="O81" s="18"/>
      <c r="P81" s="18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779"/>
    </row>
    <row r="82" spans="1:40" ht="12.75">
      <c r="A82" s="774"/>
      <c r="B82" s="737"/>
      <c r="C82" s="782"/>
      <c r="D82" s="784"/>
      <c r="E82" s="776"/>
      <c r="F82" s="21" t="s">
        <v>22</v>
      </c>
      <c r="G82" s="15" t="s">
        <v>25</v>
      </c>
      <c r="H82" s="22">
        <f aca="true" t="shared" si="17" ref="H82:AM82">H76+H78+H80</f>
        <v>0</v>
      </c>
      <c r="I82" s="115">
        <f t="shared" si="17"/>
        <v>0</v>
      </c>
      <c r="J82" s="24">
        <f t="shared" si="17"/>
        <v>0</v>
      </c>
      <c r="K82" s="24">
        <f t="shared" si="17"/>
        <v>0</v>
      </c>
      <c r="L82" s="24">
        <f t="shared" si="17"/>
        <v>0</v>
      </c>
      <c r="M82" s="24">
        <f t="shared" si="17"/>
        <v>0</v>
      </c>
      <c r="N82" s="24">
        <f t="shared" si="17"/>
        <v>0</v>
      </c>
      <c r="O82" s="24">
        <f t="shared" si="17"/>
        <v>0</v>
      </c>
      <c r="P82" s="24">
        <f t="shared" si="17"/>
        <v>0</v>
      </c>
      <c r="Q82" s="24">
        <f t="shared" si="17"/>
        <v>0</v>
      </c>
      <c r="R82" s="24">
        <f t="shared" si="17"/>
        <v>0</v>
      </c>
      <c r="S82" s="24">
        <f t="shared" si="17"/>
        <v>0</v>
      </c>
      <c r="T82" s="24">
        <f t="shared" si="17"/>
        <v>0</v>
      </c>
      <c r="U82" s="24">
        <f t="shared" si="17"/>
        <v>0</v>
      </c>
      <c r="V82" s="24">
        <f t="shared" si="17"/>
        <v>0</v>
      </c>
      <c r="W82" s="24">
        <f t="shared" si="17"/>
        <v>0</v>
      </c>
      <c r="X82" s="24">
        <f t="shared" si="17"/>
        <v>0</v>
      </c>
      <c r="Y82" s="24">
        <f t="shared" si="17"/>
        <v>0</v>
      </c>
      <c r="Z82" s="24">
        <f t="shared" si="17"/>
        <v>0</v>
      </c>
      <c r="AA82" s="24">
        <f t="shared" si="17"/>
        <v>0</v>
      </c>
      <c r="AB82" s="24">
        <f t="shared" si="17"/>
        <v>0</v>
      </c>
      <c r="AC82" s="24">
        <f t="shared" si="17"/>
        <v>0</v>
      </c>
      <c r="AD82" s="24">
        <f t="shared" si="17"/>
        <v>0</v>
      </c>
      <c r="AE82" s="24">
        <f t="shared" si="17"/>
        <v>0</v>
      </c>
      <c r="AF82" s="24">
        <f t="shared" si="17"/>
        <v>0</v>
      </c>
      <c r="AG82" s="24">
        <f t="shared" si="17"/>
        <v>0</v>
      </c>
      <c r="AH82" s="24">
        <f t="shared" si="17"/>
        <v>0</v>
      </c>
      <c r="AI82" s="24">
        <f t="shared" si="17"/>
        <v>0</v>
      </c>
      <c r="AJ82" s="24">
        <f t="shared" si="17"/>
        <v>0</v>
      </c>
      <c r="AK82" s="24">
        <f t="shared" si="17"/>
        <v>0</v>
      </c>
      <c r="AL82" s="24">
        <f t="shared" si="17"/>
        <v>0</v>
      </c>
      <c r="AM82" s="24">
        <f t="shared" si="17"/>
        <v>0</v>
      </c>
      <c r="AN82" s="779"/>
    </row>
    <row r="83" spans="1:40" ht="13.5" thickBot="1">
      <c r="A83" s="806"/>
      <c r="B83" s="738"/>
      <c r="C83" s="805"/>
      <c r="D83" s="771"/>
      <c r="E83" s="777"/>
      <c r="F83" s="116">
        <f>F77+F80</f>
        <v>45200000</v>
      </c>
      <c r="G83" s="36" t="s">
        <v>26</v>
      </c>
      <c r="H83" s="37">
        <f aca="true" t="shared" si="18" ref="H83:AM83">H77+H79+H81</f>
        <v>0</v>
      </c>
      <c r="I83" s="119">
        <f t="shared" si="18"/>
        <v>11000000</v>
      </c>
      <c r="J83" s="29">
        <f t="shared" si="18"/>
        <v>17200000</v>
      </c>
      <c r="K83" s="29">
        <f t="shared" si="18"/>
        <v>17000000</v>
      </c>
      <c r="L83" s="29">
        <f t="shared" si="18"/>
        <v>0</v>
      </c>
      <c r="M83" s="29">
        <f t="shared" si="18"/>
        <v>0</v>
      </c>
      <c r="N83" s="29">
        <f t="shared" si="18"/>
        <v>0</v>
      </c>
      <c r="O83" s="29">
        <f t="shared" si="18"/>
        <v>0</v>
      </c>
      <c r="P83" s="29">
        <f t="shared" si="18"/>
        <v>0</v>
      </c>
      <c r="Q83" s="29">
        <f t="shared" si="18"/>
        <v>0</v>
      </c>
      <c r="R83" s="29">
        <f t="shared" si="18"/>
        <v>0</v>
      </c>
      <c r="S83" s="29">
        <f t="shared" si="18"/>
        <v>0</v>
      </c>
      <c r="T83" s="29">
        <f t="shared" si="18"/>
        <v>0</v>
      </c>
      <c r="U83" s="29">
        <f t="shared" si="18"/>
        <v>0</v>
      </c>
      <c r="V83" s="29">
        <f t="shared" si="18"/>
        <v>0</v>
      </c>
      <c r="W83" s="29">
        <f t="shared" si="18"/>
        <v>0</v>
      </c>
      <c r="X83" s="29">
        <f t="shared" si="18"/>
        <v>0</v>
      </c>
      <c r="Y83" s="29">
        <f t="shared" si="18"/>
        <v>0</v>
      </c>
      <c r="Z83" s="29">
        <f t="shared" si="18"/>
        <v>0</v>
      </c>
      <c r="AA83" s="29">
        <f t="shared" si="18"/>
        <v>0</v>
      </c>
      <c r="AB83" s="29">
        <f t="shared" si="18"/>
        <v>0</v>
      </c>
      <c r="AC83" s="29">
        <f t="shared" si="18"/>
        <v>0</v>
      </c>
      <c r="AD83" s="29">
        <f t="shared" si="18"/>
        <v>0</v>
      </c>
      <c r="AE83" s="29">
        <f t="shared" si="18"/>
        <v>0</v>
      </c>
      <c r="AF83" s="29">
        <f t="shared" si="18"/>
        <v>0</v>
      </c>
      <c r="AG83" s="29">
        <f t="shared" si="18"/>
        <v>0</v>
      </c>
      <c r="AH83" s="29">
        <f t="shared" si="18"/>
        <v>0</v>
      </c>
      <c r="AI83" s="29">
        <f t="shared" si="18"/>
        <v>0</v>
      </c>
      <c r="AJ83" s="29">
        <f t="shared" si="18"/>
        <v>0</v>
      </c>
      <c r="AK83" s="29">
        <f t="shared" si="18"/>
        <v>0</v>
      </c>
      <c r="AL83" s="29">
        <f t="shared" si="18"/>
        <v>0</v>
      </c>
      <c r="AM83" s="29">
        <f t="shared" si="18"/>
        <v>0</v>
      </c>
      <c r="AN83" s="780"/>
    </row>
    <row r="84" spans="1:40" ht="12.75" customHeight="1">
      <c r="A84" s="773">
        <v>10</v>
      </c>
      <c r="B84" s="752" t="s">
        <v>133</v>
      </c>
      <c r="C84" s="804">
        <v>60016</v>
      </c>
      <c r="D84" s="783" t="s">
        <v>164</v>
      </c>
      <c r="E84" s="775">
        <v>2011</v>
      </c>
      <c r="F84" s="8" t="s">
        <v>14</v>
      </c>
      <c r="G84" s="32" t="s">
        <v>15</v>
      </c>
      <c r="H84" s="33"/>
      <c r="I84" s="118"/>
      <c r="J84" s="34"/>
      <c r="K84" s="34"/>
      <c r="L84" s="34"/>
      <c r="M84" s="34"/>
      <c r="N84" s="34"/>
      <c r="O84" s="34"/>
      <c r="P84" s="34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803">
        <f>SUM(J91:AM91)</f>
        <v>5500000</v>
      </c>
    </row>
    <row r="85" spans="1:40" ht="12.75">
      <c r="A85" s="774"/>
      <c r="B85" s="737"/>
      <c r="C85" s="782"/>
      <c r="D85" s="784"/>
      <c r="E85" s="776"/>
      <c r="F85" s="746">
        <f>SUM(H90:AM90)</f>
        <v>0</v>
      </c>
      <c r="G85" s="15" t="s">
        <v>16</v>
      </c>
      <c r="H85" s="16"/>
      <c r="I85" s="114">
        <v>2500000</v>
      </c>
      <c r="J85" s="18">
        <v>3000000</v>
      </c>
      <c r="K85" s="18">
        <v>2500000</v>
      </c>
      <c r="L85" s="18"/>
      <c r="M85" s="18"/>
      <c r="N85" s="18"/>
      <c r="O85" s="18"/>
      <c r="P85" s="18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779"/>
    </row>
    <row r="86" spans="1:40" ht="12.75">
      <c r="A86" s="774"/>
      <c r="B86" s="737"/>
      <c r="C86" s="782"/>
      <c r="D86" s="784"/>
      <c r="E86" s="776"/>
      <c r="F86" s="781"/>
      <c r="G86" s="15" t="s">
        <v>17</v>
      </c>
      <c r="H86" s="16"/>
      <c r="I86" s="114"/>
      <c r="J86" s="18"/>
      <c r="K86" s="18"/>
      <c r="L86" s="18"/>
      <c r="M86" s="18"/>
      <c r="N86" s="18"/>
      <c r="O86" s="18"/>
      <c r="P86" s="18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779"/>
    </row>
    <row r="87" spans="1:40" ht="12.75">
      <c r="A87" s="774"/>
      <c r="B87" s="737"/>
      <c r="C87" s="782"/>
      <c r="D87" s="784"/>
      <c r="E87" s="727"/>
      <c r="F87" s="21" t="s">
        <v>18</v>
      </c>
      <c r="G87" s="15" t="s">
        <v>19</v>
      </c>
      <c r="H87" s="16"/>
      <c r="I87" s="114"/>
      <c r="J87" s="18"/>
      <c r="K87" s="18"/>
      <c r="L87" s="18"/>
      <c r="M87" s="18"/>
      <c r="N87" s="18"/>
      <c r="O87" s="18"/>
      <c r="P87" s="18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779"/>
    </row>
    <row r="88" spans="1:40" ht="12.75">
      <c r="A88" s="774"/>
      <c r="B88" s="737"/>
      <c r="C88" s="782"/>
      <c r="D88" s="784"/>
      <c r="E88" s="723">
        <v>2013</v>
      </c>
      <c r="F88" s="746">
        <f>SUM(H91:AM91)</f>
        <v>8000000</v>
      </c>
      <c r="G88" s="15" t="s">
        <v>23</v>
      </c>
      <c r="H88" s="16"/>
      <c r="I88" s="114"/>
      <c r="J88" s="18"/>
      <c r="K88" s="18"/>
      <c r="L88" s="18"/>
      <c r="M88" s="18"/>
      <c r="N88" s="18"/>
      <c r="O88" s="18"/>
      <c r="P88" s="18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779"/>
    </row>
    <row r="89" spans="1:40" ht="12.75">
      <c r="A89" s="774"/>
      <c r="B89" s="737"/>
      <c r="C89" s="782"/>
      <c r="D89" s="784"/>
      <c r="E89" s="776"/>
      <c r="F89" s="781"/>
      <c r="G89" s="15" t="s">
        <v>24</v>
      </c>
      <c r="H89" s="16"/>
      <c r="I89" s="114"/>
      <c r="J89" s="18"/>
      <c r="K89" s="18"/>
      <c r="L89" s="18"/>
      <c r="M89" s="18"/>
      <c r="N89" s="18"/>
      <c r="O89" s="18"/>
      <c r="P89" s="18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779"/>
    </row>
    <row r="90" spans="1:40" ht="12.75">
      <c r="A90" s="774"/>
      <c r="B90" s="737"/>
      <c r="C90" s="782"/>
      <c r="D90" s="784"/>
      <c r="E90" s="776"/>
      <c r="F90" s="21" t="s">
        <v>22</v>
      </c>
      <c r="G90" s="15" t="s">
        <v>25</v>
      </c>
      <c r="H90" s="22">
        <f aca="true" t="shared" si="19" ref="H90:AM90">H84+H86+H88</f>
        <v>0</v>
      </c>
      <c r="I90" s="115">
        <f t="shared" si="19"/>
        <v>0</v>
      </c>
      <c r="J90" s="24">
        <f t="shared" si="19"/>
        <v>0</v>
      </c>
      <c r="K90" s="24">
        <f t="shared" si="19"/>
        <v>0</v>
      </c>
      <c r="L90" s="24">
        <f t="shared" si="19"/>
        <v>0</v>
      </c>
      <c r="M90" s="24">
        <f t="shared" si="19"/>
        <v>0</v>
      </c>
      <c r="N90" s="24">
        <f t="shared" si="19"/>
        <v>0</v>
      </c>
      <c r="O90" s="24">
        <f t="shared" si="19"/>
        <v>0</v>
      </c>
      <c r="P90" s="24">
        <f t="shared" si="19"/>
        <v>0</v>
      </c>
      <c r="Q90" s="24">
        <f t="shared" si="19"/>
        <v>0</v>
      </c>
      <c r="R90" s="24">
        <f t="shared" si="19"/>
        <v>0</v>
      </c>
      <c r="S90" s="24">
        <f t="shared" si="19"/>
        <v>0</v>
      </c>
      <c r="T90" s="24">
        <f t="shared" si="19"/>
        <v>0</v>
      </c>
      <c r="U90" s="24">
        <f t="shared" si="19"/>
        <v>0</v>
      </c>
      <c r="V90" s="24">
        <f t="shared" si="19"/>
        <v>0</v>
      </c>
      <c r="W90" s="24">
        <f t="shared" si="19"/>
        <v>0</v>
      </c>
      <c r="X90" s="24">
        <f t="shared" si="19"/>
        <v>0</v>
      </c>
      <c r="Y90" s="24">
        <f t="shared" si="19"/>
        <v>0</v>
      </c>
      <c r="Z90" s="24">
        <f t="shared" si="19"/>
        <v>0</v>
      </c>
      <c r="AA90" s="24">
        <f t="shared" si="19"/>
        <v>0</v>
      </c>
      <c r="AB90" s="24">
        <f t="shared" si="19"/>
        <v>0</v>
      </c>
      <c r="AC90" s="24">
        <f t="shared" si="19"/>
        <v>0</v>
      </c>
      <c r="AD90" s="24">
        <f t="shared" si="19"/>
        <v>0</v>
      </c>
      <c r="AE90" s="24">
        <f t="shared" si="19"/>
        <v>0</v>
      </c>
      <c r="AF90" s="24">
        <f t="shared" si="19"/>
        <v>0</v>
      </c>
      <c r="AG90" s="24">
        <f t="shared" si="19"/>
        <v>0</v>
      </c>
      <c r="AH90" s="24">
        <f t="shared" si="19"/>
        <v>0</v>
      </c>
      <c r="AI90" s="24">
        <f t="shared" si="19"/>
        <v>0</v>
      </c>
      <c r="AJ90" s="24">
        <f t="shared" si="19"/>
        <v>0</v>
      </c>
      <c r="AK90" s="24">
        <f t="shared" si="19"/>
        <v>0</v>
      </c>
      <c r="AL90" s="24">
        <f t="shared" si="19"/>
        <v>0</v>
      </c>
      <c r="AM90" s="24">
        <f t="shared" si="19"/>
        <v>0</v>
      </c>
      <c r="AN90" s="779"/>
    </row>
    <row r="91" spans="1:40" ht="13.5" thickBot="1">
      <c r="A91" s="774"/>
      <c r="B91" s="738"/>
      <c r="C91" s="805"/>
      <c r="D91" s="784"/>
      <c r="E91" s="777"/>
      <c r="F91" s="116">
        <f>F85+F88</f>
        <v>8000000</v>
      </c>
      <c r="G91" s="36" t="s">
        <v>26</v>
      </c>
      <c r="H91" s="37">
        <f aca="true" t="shared" si="20" ref="H91:AM91">H85+H87+H89</f>
        <v>0</v>
      </c>
      <c r="I91" s="119">
        <f t="shared" si="20"/>
        <v>2500000</v>
      </c>
      <c r="J91" s="29">
        <f t="shared" si="20"/>
        <v>3000000</v>
      </c>
      <c r="K91" s="29">
        <f t="shared" si="20"/>
        <v>2500000</v>
      </c>
      <c r="L91" s="29">
        <f t="shared" si="20"/>
        <v>0</v>
      </c>
      <c r="M91" s="29">
        <f t="shared" si="20"/>
        <v>0</v>
      </c>
      <c r="N91" s="29">
        <f t="shared" si="20"/>
        <v>0</v>
      </c>
      <c r="O91" s="29">
        <f t="shared" si="20"/>
        <v>0</v>
      </c>
      <c r="P91" s="29">
        <f t="shared" si="20"/>
        <v>0</v>
      </c>
      <c r="Q91" s="29">
        <f t="shared" si="20"/>
        <v>0</v>
      </c>
      <c r="R91" s="29">
        <f t="shared" si="20"/>
        <v>0</v>
      </c>
      <c r="S91" s="29">
        <f t="shared" si="20"/>
        <v>0</v>
      </c>
      <c r="T91" s="29">
        <f t="shared" si="20"/>
        <v>0</v>
      </c>
      <c r="U91" s="29">
        <f t="shared" si="20"/>
        <v>0</v>
      </c>
      <c r="V91" s="29">
        <f t="shared" si="20"/>
        <v>0</v>
      </c>
      <c r="W91" s="29">
        <f t="shared" si="20"/>
        <v>0</v>
      </c>
      <c r="X91" s="29">
        <f t="shared" si="20"/>
        <v>0</v>
      </c>
      <c r="Y91" s="29">
        <f t="shared" si="20"/>
        <v>0</v>
      </c>
      <c r="Z91" s="29">
        <f t="shared" si="20"/>
        <v>0</v>
      </c>
      <c r="AA91" s="29">
        <f t="shared" si="20"/>
        <v>0</v>
      </c>
      <c r="AB91" s="29">
        <f t="shared" si="20"/>
        <v>0</v>
      </c>
      <c r="AC91" s="29">
        <f t="shared" si="20"/>
        <v>0</v>
      </c>
      <c r="AD91" s="29">
        <f t="shared" si="20"/>
        <v>0</v>
      </c>
      <c r="AE91" s="29">
        <f t="shared" si="20"/>
        <v>0</v>
      </c>
      <c r="AF91" s="29">
        <f t="shared" si="20"/>
        <v>0</v>
      </c>
      <c r="AG91" s="29">
        <f t="shared" si="20"/>
        <v>0</v>
      </c>
      <c r="AH91" s="29">
        <f t="shared" si="20"/>
        <v>0</v>
      </c>
      <c r="AI91" s="29">
        <f t="shared" si="20"/>
        <v>0</v>
      </c>
      <c r="AJ91" s="29">
        <f t="shared" si="20"/>
        <v>0</v>
      </c>
      <c r="AK91" s="29">
        <f t="shared" si="20"/>
        <v>0</v>
      </c>
      <c r="AL91" s="29">
        <f t="shared" si="20"/>
        <v>0</v>
      </c>
      <c r="AM91" s="29">
        <f t="shared" si="20"/>
        <v>0</v>
      </c>
      <c r="AN91" s="780"/>
    </row>
    <row r="92" spans="1:40" ht="12.75" customHeight="1">
      <c r="A92" s="773">
        <v>11</v>
      </c>
      <c r="B92" s="752" t="s">
        <v>134</v>
      </c>
      <c r="C92" s="804">
        <v>60016</v>
      </c>
      <c r="D92" s="783" t="s">
        <v>164</v>
      </c>
      <c r="E92" s="775">
        <v>2011</v>
      </c>
      <c r="F92" s="8" t="s">
        <v>14</v>
      </c>
      <c r="G92" s="32" t="s">
        <v>15</v>
      </c>
      <c r="H92" s="33"/>
      <c r="I92" s="118"/>
      <c r="J92" s="34"/>
      <c r="K92" s="34"/>
      <c r="L92" s="34"/>
      <c r="M92" s="34"/>
      <c r="N92" s="34"/>
      <c r="O92" s="34"/>
      <c r="P92" s="34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803">
        <f>SUM(J99:AM99)</f>
        <v>2000000</v>
      </c>
    </row>
    <row r="93" spans="1:40" ht="12.75">
      <c r="A93" s="774"/>
      <c r="B93" s="737"/>
      <c r="C93" s="782"/>
      <c r="D93" s="784"/>
      <c r="E93" s="776"/>
      <c r="F93" s="746">
        <f>SUM(H98:AM98)</f>
        <v>0</v>
      </c>
      <c r="G93" s="15" t="s">
        <v>16</v>
      </c>
      <c r="H93" s="16"/>
      <c r="I93" s="114">
        <v>1000000</v>
      </c>
      <c r="J93" s="18">
        <v>1000000</v>
      </c>
      <c r="K93" s="18">
        <v>1000000</v>
      </c>
      <c r="L93" s="18"/>
      <c r="M93" s="18"/>
      <c r="N93" s="18"/>
      <c r="O93" s="18"/>
      <c r="P93" s="18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779"/>
    </row>
    <row r="94" spans="1:40" ht="12.75">
      <c r="A94" s="774"/>
      <c r="B94" s="737"/>
      <c r="C94" s="782"/>
      <c r="D94" s="784"/>
      <c r="E94" s="776"/>
      <c r="F94" s="781"/>
      <c r="G94" s="15" t="s">
        <v>17</v>
      </c>
      <c r="H94" s="16"/>
      <c r="I94" s="114"/>
      <c r="J94" s="18"/>
      <c r="K94" s="18"/>
      <c r="L94" s="18"/>
      <c r="M94" s="18"/>
      <c r="N94" s="18"/>
      <c r="O94" s="18"/>
      <c r="P94" s="18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779"/>
    </row>
    <row r="95" spans="1:40" ht="12.75">
      <c r="A95" s="774"/>
      <c r="B95" s="737"/>
      <c r="C95" s="782"/>
      <c r="D95" s="784"/>
      <c r="E95" s="727"/>
      <c r="F95" s="21" t="s">
        <v>18</v>
      </c>
      <c r="G95" s="15" t="s">
        <v>19</v>
      </c>
      <c r="H95" s="16"/>
      <c r="I95" s="114"/>
      <c r="J95" s="18"/>
      <c r="K95" s="18"/>
      <c r="L95" s="18"/>
      <c r="M95" s="18"/>
      <c r="N95" s="18"/>
      <c r="O95" s="18"/>
      <c r="P95" s="18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779"/>
    </row>
    <row r="96" spans="1:40" ht="12.75">
      <c r="A96" s="774"/>
      <c r="B96" s="737"/>
      <c r="C96" s="782"/>
      <c r="D96" s="784"/>
      <c r="E96" s="723">
        <v>2013</v>
      </c>
      <c r="F96" s="746">
        <f>SUM(H99:AM99)</f>
        <v>3000000</v>
      </c>
      <c r="G96" s="15" t="s">
        <v>23</v>
      </c>
      <c r="H96" s="16"/>
      <c r="I96" s="114"/>
      <c r="J96" s="18"/>
      <c r="K96" s="18"/>
      <c r="L96" s="18"/>
      <c r="M96" s="18"/>
      <c r="N96" s="18"/>
      <c r="O96" s="18"/>
      <c r="P96" s="18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779"/>
    </row>
    <row r="97" spans="1:40" ht="12.75">
      <c r="A97" s="774"/>
      <c r="B97" s="737"/>
      <c r="C97" s="782"/>
      <c r="D97" s="784"/>
      <c r="E97" s="776"/>
      <c r="F97" s="781"/>
      <c r="G97" s="15" t="s">
        <v>24</v>
      </c>
      <c r="H97" s="16"/>
      <c r="I97" s="114"/>
      <c r="J97" s="18"/>
      <c r="K97" s="18"/>
      <c r="L97" s="18"/>
      <c r="M97" s="18"/>
      <c r="N97" s="18"/>
      <c r="O97" s="18"/>
      <c r="P97" s="18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779"/>
    </row>
    <row r="98" spans="1:40" ht="12.75">
      <c r="A98" s="774"/>
      <c r="B98" s="737"/>
      <c r="C98" s="782"/>
      <c r="D98" s="784"/>
      <c r="E98" s="776"/>
      <c r="F98" s="21" t="s">
        <v>22</v>
      </c>
      <c r="G98" s="15" t="s">
        <v>25</v>
      </c>
      <c r="H98" s="22">
        <f aca="true" t="shared" si="21" ref="H98:AM98">H92+H94+H96</f>
        <v>0</v>
      </c>
      <c r="I98" s="115">
        <f t="shared" si="21"/>
        <v>0</v>
      </c>
      <c r="J98" s="24">
        <f t="shared" si="21"/>
        <v>0</v>
      </c>
      <c r="K98" s="24">
        <f t="shared" si="21"/>
        <v>0</v>
      </c>
      <c r="L98" s="24">
        <f t="shared" si="21"/>
        <v>0</v>
      </c>
      <c r="M98" s="24">
        <f t="shared" si="21"/>
        <v>0</v>
      </c>
      <c r="N98" s="24">
        <f t="shared" si="21"/>
        <v>0</v>
      </c>
      <c r="O98" s="24">
        <f t="shared" si="21"/>
        <v>0</v>
      </c>
      <c r="P98" s="24">
        <f t="shared" si="21"/>
        <v>0</v>
      </c>
      <c r="Q98" s="24">
        <f t="shared" si="21"/>
        <v>0</v>
      </c>
      <c r="R98" s="24">
        <f t="shared" si="21"/>
        <v>0</v>
      </c>
      <c r="S98" s="24">
        <f t="shared" si="21"/>
        <v>0</v>
      </c>
      <c r="T98" s="24">
        <f t="shared" si="21"/>
        <v>0</v>
      </c>
      <c r="U98" s="24">
        <f t="shared" si="21"/>
        <v>0</v>
      </c>
      <c r="V98" s="24">
        <f t="shared" si="21"/>
        <v>0</v>
      </c>
      <c r="W98" s="24">
        <f t="shared" si="21"/>
        <v>0</v>
      </c>
      <c r="X98" s="24">
        <f t="shared" si="21"/>
        <v>0</v>
      </c>
      <c r="Y98" s="24">
        <f t="shared" si="21"/>
        <v>0</v>
      </c>
      <c r="Z98" s="24">
        <f t="shared" si="21"/>
        <v>0</v>
      </c>
      <c r="AA98" s="24">
        <f t="shared" si="21"/>
        <v>0</v>
      </c>
      <c r="AB98" s="24">
        <f t="shared" si="21"/>
        <v>0</v>
      </c>
      <c r="AC98" s="24">
        <f t="shared" si="21"/>
        <v>0</v>
      </c>
      <c r="AD98" s="24">
        <f t="shared" si="21"/>
        <v>0</v>
      </c>
      <c r="AE98" s="24">
        <f t="shared" si="21"/>
        <v>0</v>
      </c>
      <c r="AF98" s="24">
        <f t="shared" si="21"/>
        <v>0</v>
      </c>
      <c r="AG98" s="24">
        <f t="shared" si="21"/>
        <v>0</v>
      </c>
      <c r="AH98" s="24">
        <f t="shared" si="21"/>
        <v>0</v>
      </c>
      <c r="AI98" s="24">
        <f t="shared" si="21"/>
        <v>0</v>
      </c>
      <c r="AJ98" s="24">
        <f t="shared" si="21"/>
        <v>0</v>
      </c>
      <c r="AK98" s="24">
        <f t="shared" si="21"/>
        <v>0</v>
      </c>
      <c r="AL98" s="24">
        <f t="shared" si="21"/>
        <v>0</v>
      </c>
      <c r="AM98" s="24">
        <f t="shared" si="21"/>
        <v>0</v>
      </c>
      <c r="AN98" s="779"/>
    </row>
    <row r="99" spans="1:40" ht="13.5" thickBot="1">
      <c r="A99" s="774"/>
      <c r="B99" s="738"/>
      <c r="C99" s="805"/>
      <c r="D99" s="784"/>
      <c r="E99" s="777"/>
      <c r="F99" s="116">
        <f>F93+F96</f>
        <v>3000000</v>
      </c>
      <c r="G99" s="36" t="s">
        <v>26</v>
      </c>
      <c r="H99" s="37">
        <f aca="true" t="shared" si="22" ref="H99:AM99">H93+H95+H97</f>
        <v>0</v>
      </c>
      <c r="I99" s="119">
        <f t="shared" si="22"/>
        <v>1000000</v>
      </c>
      <c r="J99" s="29">
        <f t="shared" si="22"/>
        <v>1000000</v>
      </c>
      <c r="K99" s="29">
        <f t="shared" si="22"/>
        <v>1000000</v>
      </c>
      <c r="L99" s="29">
        <f t="shared" si="22"/>
        <v>0</v>
      </c>
      <c r="M99" s="29">
        <f t="shared" si="22"/>
        <v>0</v>
      </c>
      <c r="N99" s="29">
        <f t="shared" si="22"/>
        <v>0</v>
      </c>
      <c r="O99" s="29">
        <f t="shared" si="22"/>
        <v>0</v>
      </c>
      <c r="P99" s="29">
        <f t="shared" si="22"/>
        <v>0</v>
      </c>
      <c r="Q99" s="29">
        <f t="shared" si="22"/>
        <v>0</v>
      </c>
      <c r="R99" s="29">
        <f t="shared" si="22"/>
        <v>0</v>
      </c>
      <c r="S99" s="29">
        <f t="shared" si="22"/>
        <v>0</v>
      </c>
      <c r="T99" s="29">
        <f t="shared" si="22"/>
        <v>0</v>
      </c>
      <c r="U99" s="29">
        <f t="shared" si="22"/>
        <v>0</v>
      </c>
      <c r="V99" s="29">
        <f t="shared" si="22"/>
        <v>0</v>
      </c>
      <c r="W99" s="29">
        <f t="shared" si="22"/>
        <v>0</v>
      </c>
      <c r="X99" s="29">
        <f t="shared" si="22"/>
        <v>0</v>
      </c>
      <c r="Y99" s="29">
        <f t="shared" si="22"/>
        <v>0</v>
      </c>
      <c r="Z99" s="29">
        <f t="shared" si="22"/>
        <v>0</v>
      </c>
      <c r="AA99" s="29">
        <f t="shared" si="22"/>
        <v>0</v>
      </c>
      <c r="AB99" s="29">
        <f t="shared" si="22"/>
        <v>0</v>
      </c>
      <c r="AC99" s="29">
        <f t="shared" si="22"/>
        <v>0</v>
      </c>
      <c r="AD99" s="29">
        <f t="shared" si="22"/>
        <v>0</v>
      </c>
      <c r="AE99" s="29">
        <f t="shared" si="22"/>
        <v>0</v>
      </c>
      <c r="AF99" s="29">
        <f t="shared" si="22"/>
        <v>0</v>
      </c>
      <c r="AG99" s="29">
        <f t="shared" si="22"/>
        <v>0</v>
      </c>
      <c r="AH99" s="29">
        <f t="shared" si="22"/>
        <v>0</v>
      </c>
      <c r="AI99" s="29">
        <f t="shared" si="22"/>
        <v>0</v>
      </c>
      <c r="AJ99" s="29">
        <f t="shared" si="22"/>
        <v>0</v>
      </c>
      <c r="AK99" s="29">
        <f t="shared" si="22"/>
        <v>0</v>
      </c>
      <c r="AL99" s="29">
        <f t="shared" si="22"/>
        <v>0</v>
      </c>
      <c r="AM99" s="29">
        <f t="shared" si="22"/>
        <v>0</v>
      </c>
      <c r="AN99" s="780"/>
    </row>
    <row r="100" spans="1:40" ht="12.75" customHeight="1">
      <c r="A100" s="773">
        <v>12</v>
      </c>
      <c r="B100" s="752" t="s">
        <v>135</v>
      </c>
      <c r="C100" s="804">
        <v>60016</v>
      </c>
      <c r="D100" s="783" t="s">
        <v>164</v>
      </c>
      <c r="E100" s="775"/>
      <c r="F100" s="8" t="s">
        <v>14</v>
      </c>
      <c r="G100" s="32" t="s">
        <v>123</v>
      </c>
      <c r="H100" s="33"/>
      <c r="I100" s="113"/>
      <c r="J100" s="12"/>
      <c r="K100" s="12"/>
      <c r="L100" s="12"/>
      <c r="M100" s="12"/>
      <c r="N100" s="12"/>
      <c r="O100" s="12"/>
      <c r="P100" s="12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803">
        <f>SUM(J107:AM107)</f>
        <v>2000000</v>
      </c>
    </row>
    <row r="101" spans="1:40" ht="12.75">
      <c r="A101" s="774"/>
      <c r="B101" s="737"/>
      <c r="C101" s="782"/>
      <c r="D101" s="784"/>
      <c r="E101" s="776"/>
      <c r="F101" s="746">
        <f>SUM(H106:AM106)</f>
        <v>0</v>
      </c>
      <c r="G101" s="15" t="s">
        <v>124</v>
      </c>
      <c r="H101" s="16"/>
      <c r="I101" s="114">
        <v>1400000</v>
      </c>
      <c r="J101" s="18">
        <v>1000000</v>
      </c>
      <c r="K101" s="18">
        <v>1000000</v>
      </c>
      <c r="L101" s="18"/>
      <c r="M101" s="18"/>
      <c r="N101" s="18"/>
      <c r="O101" s="18"/>
      <c r="P101" s="18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779"/>
    </row>
    <row r="102" spans="1:40" ht="12.75">
      <c r="A102" s="774"/>
      <c r="B102" s="737"/>
      <c r="C102" s="782"/>
      <c r="D102" s="784"/>
      <c r="E102" s="776"/>
      <c r="F102" s="781"/>
      <c r="G102" s="15" t="s">
        <v>17</v>
      </c>
      <c r="H102" s="16"/>
      <c r="I102" s="114"/>
      <c r="J102" s="18"/>
      <c r="K102" s="18"/>
      <c r="L102" s="18"/>
      <c r="M102" s="18"/>
      <c r="N102" s="18"/>
      <c r="O102" s="18"/>
      <c r="P102" s="18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779"/>
    </row>
    <row r="103" spans="1:40" ht="12.75">
      <c r="A103" s="774"/>
      <c r="B103" s="737"/>
      <c r="C103" s="782"/>
      <c r="D103" s="784"/>
      <c r="E103" s="727"/>
      <c r="F103" s="21" t="s">
        <v>18</v>
      </c>
      <c r="G103" s="15" t="s">
        <v>19</v>
      </c>
      <c r="H103" s="16"/>
      <c r="I103" s="114"/>
      <c r="J103" s="18"/>
      <c r="K103" s="18"/>
      <c r="L103" s="18"/>
      <c r="M103" s="18"/>
      <c r="N103" s="18"/>
      <c r="O103" s="18"/>
      <c r="P103" s="18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779"/>
    </row>
    <row r="104" spans="1:40" ht="12.75">
      <c r="A104" s="774"/>
      <c r="B104" s="737"/>
      <c r="C104" s="782"/>
      <c r="D104" s="784"/>
      <c r="E104" s="723"/>
      <c r="F104" s="746">
        <f>SUM(H107:AM107)</f>
        <v>3400000</v>
      </c>
      <c r="G104" s="15" t="s">
        <v>23</v>
      </c>
      <c r="H104" s="16"/>
      <c r="I104" s="114"/>
      <c r="J104" s="18"/>
      <c r="K104" s="18"/>
      <c r="L104" s="18"/>
      <c r="M104" s="18"/>
      <c r="N104" s="18"/>
      <c r="O104" s="18"/>
      <c r="P104" s="18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779"/>
    </row>
    <row r="105" spans="1:40" ht="12.75">
      <c r="A105" s="774"/>
      <c r="B105" s="737"/>
      <c r="C105" s="782"/>
      <c r="D105" s="784"/>
      <c r="E105" s="776"/>
      <c r="F105" s="781"/>
      <c r="G105" s="15" t="s">
        <v>24</v>
      </c>
      <c r="H105" s="16"/>
      <c r="I105" s="114"/>
      <c r="J105" s="18"/>
      <c r="K105" s="18"/>
      <c r="L105" s="18"/>
      <c r="M105" s="18"/>
      <c r="N105" s="18"/>
      <c r="O105" s="18"/>
      <c r="P105" s="18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779"/>
    </row>
    <row r="106" spans="1:40" ht="12.75">
      <c r="A106" s="774"/>
      <c r="B106" s="737"/>
      <c r="C106" s="782"/>
      <c r="D106" s="784"/>
      <c r="E106" s="776"/>
      <c r="F106" s="21" t="s">
        <v>22</v>
      </c>
      <c r="G106" s="15" t="s">
        <v>25</v>
      </c>
      <c r="H106" s="22">
        <f aca="true" t="shared" si="23" ref="H106:AM106">H100+H102+H104</f>
        <v>0</v>
      </c>
      <c r="I106" s="115">
        <f t="shared" si="23"/>
        <v>0</v>
      </c>
      <c r="J106" s="24">
        <f t="shared" si="23"/>
        <v>0</v>
      </c>
      <c r="K106" s="24">
        <f t="shared" si="23"/>
        <v>0</v>
      </c>
      <c r="L106" s="24">
        <f t="shared" si="23"/>
        <v>0</v>
      </c>
      <c r="M106" s="24">
        <f t="shared" si="23"/>
        <v>0</v>
      </c>
      <c r="N106" s="24">
        <f t="shared" si="23"/>
        <v>0</v>
      </c>
      <c r="O106" s="24">
        <f t="shared" si="23"/>
        <v>0</v>
      </c>
      <c r="P106" s="24">
        <f t="shared" si="23"/>
        <v>0</v>
      </c>
      <c r="Q106" s="24">
        <f t="shared" si="23"/>
        <v>0</v>
      </c>
      <c r="R106" s="24">
        <f t="shared" si="23"/>
        <v>0</v>
      </c>
      <c r="S106" s="24">
        <f t="shared" si="23"/>
        <v>0</v>
      </c>
      <c r="T106" s="24">
        <f t="shared" si="23"/>
        <v>0</v>
      </c>
      <c r="U106" s="24">
        <f t="shared" si="23"/>
        <v>0</v>
      </c>
      <c r="V106" s="24">
        <f t="shared" si="23"/>
        <v>0</v>
      </c>
      <c r="W106" s="24">
        <f t="shared" si="23"/>
        <v>0</v>
      </c>
      <c r="X106" s="24">
        <f t="shared" si="23"/>
        <v>0</v>
      </c>
      <c r="Y106" s="24">
        <f t="shared" si="23"/>
        <v>0</v>
      </c>
      <c r="Z106" s="24">
        <f t="shared" si="23"/>
        <v>0</v>
      </c>
      <c r="AA106" s="24">
        <f t="shared" si="23"/>
        <v>0</v>
      </c>
      <c r="AB106" s="24">
        <f t="shared" si="23"/>
        <v>0</v>
      </c>
      <c r="AC106" s="24">
        <f t="shared" si="23"/>
        <v>0</v>
      </c>
      <c r="AD106" s="24">
        <f t="shared" si="23"/>
        <v>0</v>
      </c>
      <c r="AE106" s="24">
        <f t="shared" si="23"/>
        <v>0</v>
      </c>
      <c r="AF106" s="24">
        <f t="shared" si="23"/>
        <v>0</v>
      </c>
      <c r="AG106" s="24">
        <f t="shared" si="23"/>
        <v>0</v>
      </c>
      <c r="AH106" s="24">
        <f t="shared" si="23"/>
        <v>0</v>
      </c>
      <c r="AI106" s="24">
        <f t="shared" si="23"/>
        <v>0</v>
      </c>
      <c r="AJ106" s="24">
        <f t="shared" si="23"/>
        <v>0</v>
      </c>
      <c r="AK106" s="24">
        <f t="shared" si="23"/>
        <v>0</v>
      </c>
      <c r="AL106" s="24">
        <f t="shared" si="23"/>
        <v>0</v>
      </c>
      <c r="AM106" s="24">
        <f t="shared" si="23"/>
        <v>0</v>
      </c>
      <c r="AN106" s="779"/>
    </row>
    <row r="107" spans="1:40" ht="13.5" thickBot="1">
      <c r="A107" s="774"/>
      <c r="B107" s="737"/>
      <c r="C107" s="782"/>
      <c r="D107" s="784"/>
      <c r="E107" s="776"/>
      <c r="F107" s="116">
        <f>F101+F104</f>
        <v>3400000</v>
      </c>
      <c r="G107" s="26" t="s">
        <v>26</v>
      </c>
      <c r="H107" s="37">
        <f aca="true" t="shared" si="24" ref="H107:AM107">H101+H103+H105</f>
        <v>0</v>
      </c>
      <c r="I107" s="117">
        <f t="shared" si="24"/>
        <v>1400000</v>
      </c>
      <c r="J107" s="30">
        <f t="shared" si="24"/>
        <v>1000000</v>
      </c>
      <c r="K107" s="30">
        <f t="shared" si="24"/>
        <v>1000000</v>
      </c>
      <c r="L107" s="30">
        <f t="shared" si="24"/>
        <v>0</v>
      </c>
      <c r="M107" s="30">
        <f t="shared" si="24"/>
        <v>0</v>
      </c>
      <c r="N107" s="30">
        <f t="shared" si="24"/>
        <v>0</v>
      </c>
      <c r="O107" s="30">
        <f t="shared" si="24"/>
        <v>0</v>
      </c>
      <c r="P107" s="30">
        <f t="shared" si="24"/>
        <v>0</v>
      </c>
      <c r="Q107" s="30">
        <f t="shared" si="24"/>
        <v>0</v>
      </c>
      <c r="R107" s="30">
        <f t="shared" si="24"/>
        <v>0</v>
      </c>
      <c r="S107" s="30">
        <f t="shared" si="24"/>
        <v>0</v>
      </c>
      <c r="T107" s="30">
        <f t="shared" si="24"/>
        <v>0</v>
      </c>
      <c r="U107" s="30">
        <f t="shared" si="24"/>
        <v>0</v>
      </c>
      <c r="V107" s="30">
        <f t="shared" si="24"/>
        <v>0</v>
      </c>
      <c r="W107" s="30">
        <f t="shared" si="24"/>
        <v>0</v>
      </c>
      <c r="X107" s="30">
        <f t="shared" si="24"/>
        <v>0</v>
      </c>
      <c r="Y107" s="30">
        <f t="shared" si="24"/>
        <v>0</v>
      </c>
      <c r="Z107" s="30">
        <f t="shared" si="24"/>
        <v>0</v>
      </c>
      <c r="AA107" s="30">
        <f t="shared" si="24"/>
        <v>0</v>
      </c>
      <c r="AB107" s="30">
        <f t="shared" si="24"/>
        <v>0</v>
      </c>
      <c r="AC107" s="30">
        <f t="shared" si="24"/>
        <v>0</v>
      </c>
      <c r="AD107" s="30">
        <f t="shared" si="24"/>
        <v>0</v>
      </c>
      <c r="AE107" s="30">
        <f t="shared" si="24"/>
        <v>0</v>
      </c>
      <c r="AF107" s="30">
        <f t="shared" si="24"/>
        <v>0</v>
      </c>
      <c r="AG107" s="30">
        <f t="shared" si="24"/>
        <v>0</v>
      </c>
      <c r="AH107" s="30">
        <f t="shared" si="24"/>
        <v>0</v>
      </c>
      <c r="AI107" s="30">
        <f t="shared" si="24"/>
        <v>0</v>
      </c>
      <c r="AJ107" s="30">
        <f t="shared" si="24"/>
        <v>0</v>
      </c>
      <c r="AK107" s="30">
        <f t="shared" si="24"/>
        <v>0</v>
      </c>
      <c r="AL107" s="30">
        <f t="shared" si="24"/>
        <v>0</v>
      </c>
      <c r="AM107" s="30">
        <f t="shared" si="24"/>
        <v>0</v>
      </c>
      <c r="AN107" s="780"/>
    </row>
    <row r="108" spans="1:40" ht="12.75" customHeight="1">
      <c r="A108" s="773">
        <v>13</v>
      </c>
      <c r="B108" s="752" t="s">
        <v>136</v>
      </c>
      <c r="C108" s="804">
        <v>60016</v>
      </c>
      <c r="D108" s="783" t="s">
        <v>164</v>
      </c>
      <c r="E108" s="775"/>
      <c r="F108" s="8" t="s">
        <v>14</v>
      </c>
      <c r="G108" s="32" t="s">
        <v>15</v>
      </c>
      <c r="H108" s="33"/>
      <c r="I108" s="118"/>
      <c r="J108" s="34"/>
      <c r="K108" s="34"/>
      <c r="L108" s="34"/>
      <c r="M108" s="34"/>
      <c r="N108" s="34"/>
      <c r="O108" s="34"/>
      <c r="P108" s="34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803">
        <f>SUM(J115:AM115)</f>
        <v>2000000</v>
      </c>
    </row>
    <row r="109" spans="1:40" ht="12.75">
      <c r="A109" s="774"/>
      <c r="B109" s="737"/>
      <c r="C109" s="782"/>
      <c r="D109" s="784"/>
      <c r="E109" s="776"/>
      <c r="F109" s="746">
        <f>SUM(H114:AM114)</f>
        <v>0</v>
      </c>
      <c r="G109" s="15" t="s">
        <v>16</v>
      </c>
      <c r="H109" s="16"/>
      <c r="I109" s="114">
        <v>2000000</v>
      </c>
      <c r="J109" s="18">
        <v>1000000</v>
      </c>
      <c r="K109" s="18">
        <v>1000000</v>
      </c>
      <c r="L109" s="18"/>
      <c r="M109" s="18"/>
      <c r="N109" s="18"/>
      <c r="O109" s="18"/>
      <c r="P109" s="18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779"/>
    </row>
    <row r="110" spans="1:40" ht="12.75">
      <c r="A110" s="774"/>
      <c r="B110" s="737"/>
      <c r="C110" s="782"/>
      <c r="D110" s="784"/>
      <c r="E110" s="776"/>
      <c r="F110" s="781"/>
      <c r="G110" s="15" t="s">
        <v>17</v>
      </c>
      <c r="H110" s="16"/>
      <c r="I110" s="114"/>
      <c r="J110" s="18"/>
      <c r="K110" s="18"/>
      <c r="L110" s="18"/>
      <c r="M110" s="18"/>
      <c r="N110" s="18"/>
      <c r="O110" s="18"/>
      <c r="P110" s="18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779"/>
    </row>
    <row r="111" spans="1:40" ht="12.75">
      <c r="A111" s="774"/>
      <c r="B111" s="737"/>
      <c r="C111" s="782"/>
      <c r="D111" s="784"/>
      <c r="E111" s="727"/>
      <c r="F111" s="21" t="s">
        <v>18</v>
      </c>
      <c r="G111" s="15" t="s">
        <v>19</v>
      </c>
      <c r="H111" s="16"/>
      <c r="I111" s="114"/>
      <c r="J111" s="18"/>
      <c r="K111" s="18"/>
      <c r="L111" s="18"/>
      <c r="M111" s="18"/>
      <c r="N111" s="18"/>
      <c r="O111" s="18"/>
      <c r="P111" s="18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779"/>
    </row>
    <row r="112" spans="1:40" ht="12.75">
      <c r="A112" s="774"/>
      <c r="B112" s="737"/>
      <c r="C112" s="782"/>
      <c r="D112" s="784"/>
      <c r="E112" s="723"/>
      <c r="F112" s="746">
        <f>SUM(H115:AM115)</f>
        <v>4000000</v>
      </c>
      <c r="G112" s="15" t="s">
        <v>23</v>
      </c>
      <c r="H112" s="16"/>
      <c r="I112" s="114"/>
      <c r="J112" s="18"/>
      <c r="K112" s="18"/>
      <c r="L112" s="18"/>
      <c r="M112" s="18"/>
      <c r="N112" s="18"/>
      <c r="O112" s="18"/>
      <c r="P112" s="18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779"/>
    </row>
    <row r="113" spans="1:40" ht="12.75">
      <c r="A113" s="774"/>
      <c r="B113" s="737"/>
      <c r="C113" s="782"/>
      <c r="D113" s="784"/>
      <c r="E113" s="776"/>
      <c r="F113" s="781"/>
      <c r="G113" s="15" t="s">
        <v>24</v>
      </c>
      <c r="H113" s="16"/>
      <c r="I113" s="114"/>
      <c r="J113" s="18"/>
      <c r="K113" s="18"/>
      <c r="L113" s="18"/>
      <c r="M113" s="18"/>
      <c r="N113" s="18"/>
      <c r="O113" s="18"/>
      <c r="P113" s="18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779"/>
    </row>
    <row r="114" spans="1:40" ht="12.75">
      <c r="A114" s="774"/>
      <c r="B114" s="737"/>
      <c r="C114" s="782"/>
      <c r="D114" s="784"/>
      <c r="E114" s="776"/>
      <c r="F114" s="21" t="s">
        <v>22</v>
      </c>
      <c r="G114" s="15" t="s">
        <v>25</v>
      </c>
      <c r="H114" s="22">
        <f aca="true" t="shared" si="25" ref="H114:AM114">H108+H110+H112</f>
        <v>0</v>
      </c>
      <c r="I114" s="115">
        <f t="shared" si="25"/>
        <v>0</v>
      </c>
      <c r="J114" s="24">
        <f t="shared" si="25"/>
        <v>0</v>
      </c>
      <c r="K114" s="24">
        <f t="shared" si="25"/>
        <v>0</v>
      </c>
      <c r="L114" s="24">
        <f t="shared" si="25"/>
        <v>0</v>
      </c>
      <c r="M114" s="24">
        <f t="shared" si="25"/>
        <v>0</v>
      </c>
      <c r="N114" s="24">
        <f t="shared" si="25"/>
        <v>0</v>
      </c>
      <c r="O114" s="24">
        <f t="shared" si="25"/>
        <v>0</v>
      </c>
      <c r="P114" s="24">
        <f t="shared" si="25"/>
        <v>0</v>
      </c>
      <c r="Q114" s="24">
        <f t="shared" si="25"/>
        <v>0</v>
      </c>
      <c r="R114" s="24">
        <f t="shared" si="25"/>
        <v>0</v>
      </c>
      <c r="S114" s="24">
        <f t="shared" si="25"/>
        <v>0</v>
      </c>
      <c r="T114" s="24">
        <f t="shared" si="25"/>
        <v>0</v>
      </c>
      <c r="U114" s="24">
        <f t="shared" si="25"/>
        <v>0</v>
      </c>
      <c r="V114" s="24">
        <f t="shared" si="25"/>
        <v>0</v>
      </c>
      <c r="W114" s="24">
        <f t="shared" si="25"/>
        <v>0</v>
      </c>
      <c r="X114" s="24">
        <f t="shared" si="25"/>
        <v>0</v>
      </c>
      <c r="Y114" s="24">
        <f t="shared" si="25"/>
        <v>0</v>
      </c>
      <c r="Z114" s="24">
        <f t="shared" si="25"/>
        <v>0</v>
      </c>
      <c r="AA114" s="24">
        <f t="shared" si="25"/>
        <v>0</v>
      </c>
      <c r="AB114" s="24">
        <f t="shared" si="25"/>
        <v>0</v>
      </c>
      <c r="AC114" s="24">
        <f t="shared" si="25"/>
        <v>0</v>
      </c>
      <c r="AD114" s="24">
        <f t="shared" si="25"/>
        <v>0</v>
      </c>
      <c r="AE114" s="24">
        <f t="shared" si="25"/>
        <v>0</v>
      </c>
      <c r="AF114" s="24">
        <f t="shared" si="25"/>
        <v>0</v>
      </c>
      <c r="AG114" s="24">
        <f t="shared" si="25"/>
        <v>0</v>
      </c>
      <c r="AH114" s="24">
        <f t="shared" si="25"/>
        <v>0</v>
      </c>
      <c r="AI114" s="24">
        <f t="shared" si="25"/>
        <v>0</v>
      </c>
      <c r="AJ114" s="24">
        <f t="shared" si="25"/>
        <v>0</v>
      </c>
      <c r="AK114" s="24">
        <f t="shared" si="25"/>
        <v>0</v>
      </c>
      <c r="AL114" s="24">
        <f t="shared" si="25"/>
        <v>0</v>
      </c>
      <c r="AM114" s="24">
        <f t="shared" si="25"/>
        <v>0</v>
      </c>
      <c r="AN114" s="779"/>
    </row>
    <row r="115" spans="1:40" ht="13.5" thickBot="1">
      <c r="A115" s="806"/>
      <c r="B115" s="738"/>
      <c r="C115" s="805"/>
      <c r="D115" s="784"/>
      <c r="E115" s="777"/>
      <c r="F115" s="116">
        <f>F109+F112</f>
        <v>4000000</v>
      </c>
      <c r="G115" s="36" t="s">
        <v>26</v>
      </c>
      <c r="H115" s="37">
        <f aca="true" t="shared" si="26" ref="H115:AM115">H109+H111+H113</f>
        <v>0</v>
      </c>
      <c r="I115" s="119">
        <f t="shared" si="26"/>
        <v>2000000</v>
      </c>
      <c r="J115" s="29">
        <f t="shared" si="26"/>
        <v>1000000</v>
      </c>
      <c r="K115" s="29">
        <f t="shared" si="26"/>
        <v>1000000</v>
      </c>
      <c r="L115" s="29">
        <f t="shared" si="26"/>
        <v>0</v>
      </c>
      <c r="M115" s="29">
        <f t="shared" si="26"/>
        <v>0</v>
      </c>
      <c r="N115" s="29">
        <f t="shared" si="26"/>
        <v>0</v>
      </c>
      <c r="O115" s="29">
        <f t="shared" si="26"/>
        <v>0</v>
      </c>
      <c r="P115" s="29">
        <f t="shared" si="26"/>
        <v>0</v>
      </c>
      <c r="Q115" s="29">
        <f t="shared" si="26"/>
        <v>0</v>
      </c>
      <c r="R115" s="29">
        <f t="shared" si="26"/>
        <v>0</v>
      </c>
      <c r="S115" s="29">
        <f t="shared" si="26"/>
        <v>0</v>
      </c>
      <c r="T115" s="29">
        <f t="shared" si="26"/>
        <v>0</v>
      </c>
      <c r="U115" s="29">
        <f t="shared" si="26"/>
        <v>0</v>
      </c>
      <c r="V115" s="29">
        <f t="shared" si="26"/>
        <v>0</v>
      </c>
      <c r="W115" s="29">
        <f t="shared" si="26"/>
        <v>0</v>
      </c>
      <c r="X115" s="29">
        <f t="shared" si="26"/>
        <v>0</v>
      </c>
      <c r="Y115" s="29">
        <f t="shared" si="26"/>
        <v>0</v>
      </c>
      <c r="Z115" s="29">
        <f t="shared" si="26"/>
        <v>0</v>
      </c>
      <c r="AA115" s="29">
        <f t="shared" si="26"/>
        <v>0</v>
      </c>
      <c r="AB115" s="29">
        <f t="shared" si="26"/>
        <v>0</v>
      </c>
      <c r="AC115" s="29">
        <f t="shared" si="26"/>
        <v>0</v>
      </c>
      <c r="AD115" s="29">
        <f t="shared" si="26"/>
        <v>0</v>
      </c>
      <c r="AE115" s="29">
        <f t="shared" si="26"/>
        <v>0</v>
      </c>
      <c r="AF115" s="29">
        <f t="shared" si="26"/>
        <v>0</v>
      </c>
      <c r="AG115" s="29">
        <f t="shared" si="26"/>
        <v>0</v>
      </c>
      <c r="AH115" s="29">
        <f t="shared" si="26"/>
        <v>0</v>
      </c>
      <c r="AI115" s="29">
        <f t="shared" si="26"/>
        <v>0</v>
      </c>
      <c r="AJ115" s="29">
        <f t="shared" si="26"/>
        <v>0</v>
      </c>
      <c r="AK115" s="29">
        <f t="shared" si="26"/>
        <v>0</v>
      </c>
      <c r="AL115" s="29">
        <f t="shared" si="26"/>
        <v>0</v>
      </c>
      <c r="AM115" s="29">
        <f t="shared" si="26"/>
        <v>0</v>
      </c>
      <c r="AN115" s="780"/>
    </row>
    <row r="116" spans="1:40" ht="12.75" customHeight="1">
      <c r="A116" s="773">
        <v>14</v>
      </c>
      <c r="B116" s="752" t="s">
        <v>137</v>
      </c>
      <c r="C116" s="804">
        <v>60095</v>
      </c>
      <c r="D116" s="783" t="s">
        <v>164</v>
      </c>
      <c r="E116" s="775">
        <v>2010</v>
      </c>
      <c r="F116" s="8" t="s">
        <v>14</v>
      </c>
      <c r="G116" s="32" t="s">
        <v>15</v>
      </c>
      <c r="H116" s="33"/>
      <c r="I116" s="118"/>
      <c r="J116" s="34"/>
      <c r="K116" s="34"/>
      <c r="L116" s="34"/>
      <c r="M116" s="34"/>
      <c r="N116" s="34"/>
      <c r="O116" s="34"/>
      <c r="P116" s="34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803">
        <f>SUM(J123:AM123)</f>
        <v>0</v>
      </c>
    </row>
    <row r="117" spans="1:40" ht="12.75">
      <c r="A117" s="774"/>
      <c r="B117" s="737"/>
      <c r="C117" s="782"/>
      <c r="D117" s="784"/>
      <c r="E117" s="776"/>
      <c r="F117" s="746">
        <f>SUM(H122:AM122)</f>
        <v>0</v>
      </c>
      <c r="G117" s="15" t="s">
        <v>16</v>
      </c>
      <c r="H117" s="16">
        <v>1000000</v>
      </c>
      <c r="I117" s="114">
        <v>1000000</v>
      </c>
      <c r="J117" s="18"/>
      <c r="K117" s="18"/>
      <c r="L117" s="18"/>
      <c r="M117" s="18"/>
      <c r="N117" s="18"/>
      <c r="O117" s="18"/>
      <c r="P117" s="18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779"/>
    </row>
    <row r="118" spans="1:40" ht="12.75">
      <c r="A118" s="774"/>
      <c r="B118" s="737"/>
      <c r="C118" s="782"/>
      <c r="D118" s="784"/>
      <c r="E118" s="776"/>
      <c r="F118" s="781"/>
      <c r="G118" s="15" t="s">
        <v>17</v>
      </c>
      <c r="H118" s="16"/>
      <c r="I118" s="114"/>
      <c r="J118" s="18"/>
      <c r="K118" s="18"/>
      <c r="L118" s="18"/>
      <c r="M118" s="18"/>
      <c r="N118" s="18"/>
      <c r="O118" s="18"/>
      <c r="P118" s="18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779"/>
    </row>
    <row r="119" spans="1:40" ht="12.75">
      <c r="A119" s="774"/>
      <c r="B119" s="737"/>
      <c r="C119" s="782"/>
      <c r="D119" s="784"/>
      <c r="E119" s="727"/>
      <c r="F119" s="21" t="s">
        <v>18</v>
      </c>
      <c r="G119" s="15" t="s">
        <v>19</v>
      </c>
      <c r="H119" s="16"/>
      <c r="I119" s="114"/>
      <c r="J119" s="18"/>
      <c r="K119" s="18"/>
      <c r="L119" s="18"/>
      <c r="M119" s="18"/>
      <c r="N119" s="18"/>
      <c r="O119" s="18"/>
      <c r="P119" s="18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779"/>
    </row>
    <row r="120" spans="1:40" ht="12.75">
      <c r="A120" s="774"/>
      <c r="B120" s="737"/>
      <c r="C120" s="782"/>
      <c r="D120" s="784"/>
      <c r="E120" s="723">
        <v>2011</v>
      </c>
      <c r="F120" s="746">
        <f>SUM(H123:AM123)</f>
        <v>2000000</v>
      </c>
      <c r="G120" s="15" t="s">
        <v>23</v>
      </c>
      <c r="H120" s="16"/>
      <c r="I120" s="114"/>
      <c r="J120" s="18"/>
      <c r="K120" s="18"/>
      <c r="L120" s="18"/>
      <c r="M120" s="18"/>
      <c r="N120" s="18"/>
      <c r="O120" s="18"/>
      <c r="P120" s="18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779"/>
    </row>
    <row r="121" spans="1:40" ht="12.75">
      <c r="A121" s="774"/>
      <c r="B121" s="737"/>
      <c r="C121" s="782"/>
      <c r="D121" s="784"/>
      <c r="E121" s="776"/>
      <c r="F121" s="781"/>
      <c r="G121" s="15" t="s">
        <v>24</v>
      </c>
      <c r="H121" s="16"/>
      <c r="I121" s="114"/>
      <c r="J121" s="18"/>
      <c r="K121" s="18"/>
      <c r="L121" s="18"/>
      <c r="M121" s="18"/>
      <c r="N121" s="18"/>
      <c r="O121" s="18"/>
      <c r="P121" s="18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779"/>
    </row>
    <row r="122" spans="1:40" ht="12.75">
      <c r="A122" s="774"/>
      <c r="B122" s="737"/>
      <c r="C122" s="782"/>
      <c r="D122" s="784"/>
      <c r="E122" s="776"/>
      <c r="F122" s="21" t="s">
        <v>22</v>
      </c>
      <c r="G122" s="15" t="s">
        <v>25</v>
      </c>
      <c r="H122" s="22">
        <f aca="true" t="shared" si="27" ref="H122:AM122">H116+H118+H120</f>
        <v>0</v>
      </c>
      <c r="I122" s="115">
        <f t="shared" si="27"/>
        <v>0</v>
      </c>
      <c r="J122" s="24">
        <f t="shared" si="27"/>
        <v>0</v>
      </c>
      <c r="K122" s="24">
        <f t="shared" si="27"/>
        <v>0</v>
      </c>
      <c r="L122" s="24">
        <f t="shared" si="27"/>
        <v>0</v>
      </c>
      <c r="M122" s="24">
        <f t="shared" si="27"/>
        <v>0</v>
      </c>
      <c r="N122" s="24">
        <f t="shared" si="27"/>
        <v>0</v>
      </c>
      <c r="O122" s="24">
        <f t="shared" si="27"/>
        <v>0</v>
      </c>
      <c r="P122" s="24">
        <f t="shared" si="27"/>
        <v>0</v>
      </c>
      <c r="Q122" s="24">
        <f t="shared" si="27"/>
        <v>0</v>
      </c>
      <c r="R122" s="24">
        <f t="shared" si="27"/>
        <v>0</v>
      </c>
      <c r="S122" s="24">
        <f t="shared" si="27"/>
        <v>0</v>
      </c>
      <c r="T122" s="24">
        <f t="shared" si="27"/>
        <v>0</v>
      </c>
      <c r="U122" s="24">
        <f t="shared" si="27"/>
        <v>0</v>
      </c>
      <c r="V122" s="24">
        <f t="shared" si="27"/>
        <v>0</v>
      </c>
      <c r="W122" s="24">
        <f t="shared" si="27"/>
        <v>0</v>
      </c>
      <c r="X122" s="24">
        <f t="shared" si="27"/>
        <v>0</v>
      </c>
      <c r="Y122" s="24">
        <f t="shared" si="27"/>
        <v>0</v>
      </c>
      <c r="Z122" s="24">
        <f t="shared" si="27"/>
        <v>0</v>
      </c>
      <c r="AA122" s="24">
        <f t="shared" si="27"/>
        <v>0</v>
      </c>
      <c r="AB122" s="24">
        <f t="shared" si="27"/>
        <v>0</v>
      </c>
      <c r="AC122" s="24">
        <f t="shared" si="27"/>
        <v>0</v>
      </c>
      <c r="AD122" s="24">
        <f t="shared" si="27"/>
        <v>0</v>
      </c>
      <c r="AE122" s="24">
        <f t="shared" si="27"/>
        <v>0</v>
      </c>
      <c r="AF122" s="24">
        <f t="shared" si="27"/>
        <v>0</v>
      </c>
      <c r="AG122" s="24">
        <f t="shared" si="27"/>
        <v>0</v>
      </c>
      <c r="AH122" s="24">
        <f t="shared" si="27"/>
        <v>0</v>
      </c>
      <c r="AI122" s="24">
        <f t="shared" si="27"/>
        <v>0</v>
      </c>
      <c r="AJ122" s="24">
        <f t="shared" si="27"/>
        <v>0</v>
      </c>
      <c r="AK122" s="24">
        <f t="shared" si="27"/>
        <v>0</v>
      </c>
      <c r="AL122" s="24">
        <f t="shared" si="27"/>
        <v>0</v>
      </c>
      <c r="AM122" s="24">
        <f t="shared" si="27"/>
        <v>0</v>
      </c>
      <c r="AN122" s="779"/>
    </row>
    <row r="123" spans="1:40" ht="19.5" customHeight="1" thickBot="1">
      <c r="A123" s="806"/>
      <c r="B123" s="738"/>
      <c r="C123" s="805"/>
      <c r="D123" s="771"/>
      <c r="E123" s="777"/>
      <c r="F123" s="116">
        <f>F117+F120</f>
        <v>2000000</v>
      </c>
      <c r="G123" s="36" t="s">
        <v>26</v>
      </c>
      <c r="H123" s="37">
        <f aca="true" t="shared" si="28" ref="H123:AM123">H117+H119+H121</f>
        <v>1000000</v>
      </c>
      <c r="I123" s="119">
        <f t="shared" si="28"/>
        <v>1000000</v>
      </c>
      <c r="J123" s="29">
        <f t="shared" si="28"/>
        <v>0</v>
      </c>
      <c r="K123" s="29">
        <f t="shared" si="28"/>
        <v>0</v>
      </c>
      <c r="L123" s="29">
        <f t="shared" si="28"/>
        <v>0</v>
      </c>
      <c r="M123" s="29">
        <f t="shared" si="28"/>
        <v>0</v>
      </c>
      <c r="N123" s="29">
        <f t="shared" si="28"/>
        <v>0</v>
      </c>
      <c r="O123" s="29">
        <f t="shared" si="28"/>
        <v>0</v>
      </c>
      <c r="P123" s="29">
        <f t="shared" si="28"/>
        <v>0</v>
      </c>
      <c r="Q123" s="29">
        <f t="shared" si="28"/>
        <v>0</v>
      </c>
      <c r="R123" s="29">
        <f t="shared" si="28"/>
        <v>0</v>
      </c>
      <c r="S123" s="29">
        <f t="shared" si="28"/>
        <v>0</v>
      </c>
      <c r="T123" s="29">
        <f t="shared" si="28"/>
        <v>0</v>
      </c>
      <c r="U123" s="29">
        <f t="shared" si="28"/>
        <v>0</v>
      </c>
      <c r="V123" s="29">
        <f t="shared" si="28"/>
        <v>0</v>
      </c>
      <c r="W123" s="29">
        <f t="shared" si="28"/>
        <v>0</v>
      </c>
      <c r="X123" s="29">
        <f t="shared" si="28"/>
        <v>0</v>
      </c>
      <c r="Y123" s="29">
        <f t="shared" si="28"/>
        <v>0</v>
      </c>
      <c r="Z123" s="29">
        <f t="shared" si="28"/>
        <v>0</v>
      </c>
      <c r="AA123" s="29">
        <f t="shared" si="28"/>
        <v>0</v>
      </c>
      <c r="AB123" s="29">
        <f t="shared" si="28"/>
        <v>0</v>
      </c>
      <c r="AC123" s="29">
        <f t="shared" si="28"/>
        <v>0</v>
      </c>
      <c r="AD123" s="29">
        <f t="shared" si="28"/>
        <v>0</v>
      </c>
      <c r="AE123" s="29">
        <f t="shared" si="28"/>
        <v>0</v>
      </c>
      <c r="AF123" s="29">
        <f t="shared" si="28"/>
        <v>0</v>
      </c>
      <c r="AG123" s="29">
        <f t="shared" si="28"/>
        <v>0</v>
      </c>
      <c r="AH123" s="29">
        <f t="shared" si="28"/>
        <v>0</v>
      </c>
      <c r="AI123" s="29">
        <f t="shared" si="28"/>
        <v>0</v>
      </c>
      <c r="AJ123" s="29">
        <f t="shared" si="28"/>
        <v>0</v>
      </c>
      <c r="AK123" s="29">
        <f t="shared" si="28"/>
        <v>0</v>
      </c>
      <c r="AL123" s="29">
        <f t="shared" si="28"/>
        <v>0</v>
      </c>
      <c r="AM123" s="29">
        <f t="shared" si="28"/>
        <v>0</v>
      </c>
      <c r="AN123" s="780"/>
    </row>
    <row r="124" spans="1:40" ht="12.75" customHeight="1">
      <c r="A124" s="773">
        <v>15</v>
      </c>
      <c r="B124" s="752" t="s">
        <v>138</v>
      </c>
      <c r="C124" s="804">
        <v>60095</v>
      </c>
      <c r="D124" s="783" t="s">
        <v>164</v>
      </c>
      <c r="E124" s="775">
        <v>2011</v>
      </c>
      <c r="F124" s="8" t="s">
        <v>14</v>
      </c>
      <c r="G124" s="32" t="s">
        <v>15</v>
      </c>
      <c r="H124" s="33"/>
      <c r="I124" s="118"/>
      <c r="J124" s="34"/>
      <c r="K124" s="34"/>
      <c r="L124" s="34"/>
      <c r="M124" s="34"/>
      <c r="N124" s="34"/>
      <c r="O124" s="34"/>
      <c r="P124" s="34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803">
        <f>SUM(J131:AM131)</f>
        <v>37289000</v>
      </c>
    </row>
    <row r="125" spans="1:40" ht="12.75">
      <c r="A125" s="774"/>
      <c r="B125" s="737"/>
      <c r="C125" s="782"/>
      <c r="D125" s="784"/>
      <c r="E125" s="776"/>
      <c r="F125" s="746">
        <f>SUM(H130:AM130)</f>
        <v>0</v>
      </c>
      <c r="G125" s="15" t="s">
        <v>16</v>
      </c>
      <c r="H125" s="16"/>
      <c r="I125" s="114">
        <f>23970000+2000000</f>
        <v>25970000</v>
      </c>
      <c r="J125" s="18">
        <f>20809000+8000000</f>
        <v>28809000</v>
      </c>
      <c r="K125" s="18">
        <v>8480000</v>
      </c>
      <c r="L125" s="18"/>
      <c r="M125" s="18"/>
      <c r="N125" s="18"/>
      <c r="O125" s="18"/>
      <c r="P125" s="18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779"/>
    </row>
    <row r="126" spans="1:40" ht="12.75">
      <c r="A126" s="774"/>
      <c r="B126" s="737"/>
      <c r="C126" s="782"/>
      <c r="D126" s="784"/>
      <c r="E126" s="776"/>
      <c r="F126" s="781"/>
      <c r="G126" s="15" t="s">
        <v>17</v>
      </c>
      <c r="H126" s="16"/>
      <c r="I126" s="114"/>
      <c r="J126" s="18"/>
      <c r="K126" s="18"/>
      <c r="L126" s="18"/>
      <c r="M126" s="18"/>
      <c r="N126" s="18"/>
      <c r="O126" s="18"/>
      <c r="P126" s="18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779"/>
    </row>
    <row r="127" spans="1:40" ht="12.75">
      <c r="A127" s="774"/>
      <c r="B127" s="737"/>
      <c r="C127" s="782"/>
      <c r="D127" s="784"/>
      <c r="E127" s="727"/>
      <c r="F127" s="21" t="s">
        <v>18</v>
      </c>
      <c r="G127" s="15" t="s">
        <v>19</v>
      </c>
      <c r="H127" s="16"/>
      <c r="I127" s="114"/>
      <c r="J127" s="18"/>
      <c r="K127" s="18"/>
      <c r="L127" s="18"/>
      <c r="M127" s="18"/>
      <c r="N127" s="18"/>
      <c r="O127" s="18"/>
      <c r="P127" s="18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779"/>
    </row>
    <row r="128" spans="1:40" ht="12.75">
      <c r="A128" s="774"/>
      <c r="B128" s="737"/>
      <c r="C128" s="782"/>
      <c r="D128" s="784"/>
      <c r="E128" s="723">
        <v>2013</v>
      </c>
      <c r="F128" s="746">
        <f>SUM(H131:AM131)</f>
        <v>63259000</v>
      </c>
      <c r="G128" s="15" t="s">
        <v>23</v>
      </c>
      <c r="H128" s="16"/>
      <c r="I128" s="114"/>
      <c r="J128" s="18"/>
      <c r="K128" s="18"/>
      <c r="L128" s="18"/>
      <c r="M128" s="18"/>
      <c r="N128" s="18"/>
      <c r="O128" s="18"/>
      <c r="P128" s="18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779"/>
    </row>
    <row r="129" spans="1:40" ht="12.75">
      <c r="A129" s="774"/>
      <c r="B129" s="737"/>
      <c r="C129" s="782"/>
      <c r="D129" s="784"/>
      <c r="E129" s="776"/>
      <c r="F129" s="781"/>
      <c r="G129" s="15" t="s">
        <v>24</v>
      </c>
      <c r="H129" s="16"/>
      <c r="I129" s="114"/>
      <c r="J129" s="18"/>
      <c r="K129" s="18"/>
      <c r="L129" s="18"/>
      <c r="M129" s="18"/>
      <c r="N129" s="18"/>
      <c r="O129" s="18"/>
      <c r="P129" s="18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779"/>
    </row>
    <row r="130" spans="1:40" ht="12.75">
      <c r="A130" s="774"/>
      <c r="B130" s="737"/>
      <c r="C130" s="782"/>
      <c r="D130" s="784"/>
      <c r="E130" s="776"/>
      <c r="F130" s="21" t="s">
        <v>22</v>
      </c>
      <c r="G130" s="15" t="s">
        <v>25</v>
      </c>
      <c r="H130" s="22">
        <f aca="true" t="shared" si="29" ref="H130:AM130">H124+H126+H128</f>
        <v>0</v>
      </c>
      <c r="I130" s="115">
        <f t="shared" si="29"/>
        <v>0</v>
      </c>
      <c r="J130" s="24">
        <f t="shared" si="29"/>
        <v>0</v>
      </c>
      <c r="K130" s="24">
        <f t="shared" si="29"/>
        <v>0</v>
      </c>
      <c r="L130" s="24">
        <f t="shared" si="29"/>
        <v>0</v>
      </c>
      <c r="M130" s="24">
        <f t="shared" si="29"/>
        <v>0</v>
      </c>
      <c r="N130" s="24">
        <f t="shared" si="29"/>
        <v>0</v>
      </c>
      <c r="O130" s="24">
        <f t="shared" si="29"/>
        <v>0</v>
      </c>
      <c r="P130" s="24">
        <f t="shared" si="29"/>
        <v>0</v>
      </c>
      <c r="Q130" s="24">
        <f t="shared" si="29"/>
        <v>0</v>
      </c>
      <c r="R130" s="24">
        <f t="shared" si="29"/>
        <v>0</v>
      </c>
      <c r="S130" s="24">
        <f t="shared" si="29"/>
        <v>0</v>
      </c>
      <c r="T130" s="24">
        <f t="shared" si="29"/>
        <v>0</v>
      </c>
      <c r="U130" s="24">
        <f t="shared" si="29"/>
        <v>0</v>
      </c>
      <c r="V130" s="24">
        <f t="shared" si="29"/>
        <v>0</v>
      </c>
      <c r="W130" s="24">
        <f t="shared" si="29"/>
        <v>0</v>
      </c>
      <c r="X130" s="24">
        <f t="shared" si="29"/>
        <v>0</v>
      </c>
      <c r="Y130" s="24">
        <f t="shared" si="29"/>
        <v>0</v>
      </c>
      <c r="Z130" s="24">
        <f t="shared" si="29"/>
        <v>0</v>
      </c>
      <c r="AA130" s="24">
        <f t="shared" si="29"/>
        <v>0</v>
      </c>
      <c r="AB130" s="24">
        <f t="shared" si="29"/>
        <v>0</v>
      </c>
      <c r="AC130" s="24">
        <f t="shared" si="29"/>
        <v>0</v>
      </c>
      <c r="AD130" s="24">
        <f t="shared" si="29"/>
        <v>0</v>
      </c>
      <c r="AE130" s="24">
        <f t="shared" si="29"/>
        <v>0</v>
      </c>
      <c r="AF130" s="24">
        <f t="shared" si="29"/>
        <v>0</v>
      </c>
      <c r="AG130" s="24">
        <f t="shared" si="29"/>
        <v>0</v>
      </c>
      <c r="AH130" s="24">
        <f t="shared" si="29"/>
        <v>0</v>
      </c>
      <c r="AI130" s="24">
        <f t="shared" si="29"/>
        <v>0</v>
      </c>
      <c r="AJ130" s="24">
        <f t="shared" si="29"/>
        <v>0</v>
      </c>
      <c r="AK130" s="24">
        <f t="shared" si="29"/>
        <v>0</v>
      </c>
      <c r="AL130" s="24">
        <f t="shared" si="29"/>
        <v>0</v>
      </c>
      <c r="AM130" s="24">
        <f t="shared" si="29"/>
        <v>0</v>
      </c>
      <c r="AN130" s="779"/>
    </row>
    <row r="131" spans="1:40" ht="13.5" thickBot="1">
      <c r="A131" s="806"/>
      <c r="B131" s="738"/>
      <c r="C131" s="805"/>
      <c r="D131" s="784"/>
      <c r="E131" s="777"/>
      <c r="F131" s="116">
        <f>F125+F128</f>
        <v>63259000</v>
      </c>
      <c r="G131" s="36" t="s">
        <v>26</v>
      </c>
      <c r="H131" s="37">
        <f aca="true" t="shared" si="30" ref="H131:AM131">H125+H127+H129</f>
        <v>0</v>
      </c>
      <c r="I131" s="119">
        <f t="shared" si="30"/>
        <v>25970000</v>
      </c>
      <c r="J131" s="29">
        <f t="shared" si="30"/>
        <v>28809000</v>
      </c>
      <c r="K131" s="29">
        <f t="shared" si="30"/>
        <v>8480000</v>
      </c>
      <c r="L131" s="29">
        <f t="shared" si="30"/>
        <v>0</v>
      </c>
      <c r="M131" s="29">
        <f t="shared" si="30"/>
        <v>0</v>
      </c>
      <c r="N131" s="29">
        <f t="shared" si="30"/>
        <v>0</v>
      </c>
      <c r="O131" s="29">
        <f t="shared" si="30"/>
        <v>0</v>
      </c>
      <c r="P131" s="29">
        <f t="shared" si="30"/>
        <v>0</v>
      </c>
      <c r="Q131" s="29">
        <f t="shared" si="30"/>
        <v>0</v>
      </c>
      <c r="R131" s="29">
        <f t="shared" si="30"/>
        <v>0</v>
      </c>
      <c r="S131" s="29">
        <f t="shared" si="30"/>
        <v>0</v>
      </c>
      <c r="T131" s="29">
        <f t="shared" si="30"/>
        <v>0</v>
      </c>
      <c r="U131" s="29">
        <f t="shared" si="30"/>
        <v>0</v>
      </c>
      <c r="V131" s="29">
        <f t="shared" si="30"/>
        <v>0</v>
      </c>
      <c r="W131" s="29">
        <f t="shared" si="30"/>
        <v>0</v>
      </c>
      <c r="X131" s="29">
        <f t="shared" si="30"/>
        <v>0</v>
      </c>
      <c r="Y131" s="29">
        <f t="shared" si="30"/>
        <v>0</v>
      </c>
      <c r="Z131" s="29">
        <f t="shared" si="30"/>
        <v>0</v>
      </c>
      <c r="AA131" s="29">
        <f t="shared" si="30"/>
        <v>0</v>
      </c>
      <c r="AB131" s="29">
        <f t="shared" si="30"/>
        <v>0</v>
      </c>
      <c r="AC131" s="29">
        <f t="shared" si="30"/>
        <v>0</v>
      </c>
      <c r="AD131" s="29">
        <f t="shared" si="30"/>
        <v>0</v>
      </c>
      <c r="AE131" s="29">
        <f t="shared" si="30"/>
        <v>0</v>
      </c>
      <c r="AF131" s="29">
        <f t="shared" si="30"/>
        <v>0</v>
      </c>
      <c r="AG131" s="29">
        <f t="shared" si="30"/>
        <v>0</v>
      </c>
      <c r="AH131" s="29">
        <f t="shared" si="30"/>
        <v>0</v>
      </c>
      <c r="AI131" s="29">
        <f t="shared" si="30"/>
        <v>0</v>
      </c>
      <c r="AJ131" s="29">
        <f t="shared" si="30"/>
        <v>0</v>
      </c>
      <c r="AK131" s="29">
        <f t="shared" si="30"/>
        <v>0</v>
      </c>
      <c r="AL131" s="29">
        <f t="shared" si="30"/>
        <v>0</v>
      </c>
      <c r="AM131" s="29">
        <f t="shared" si="30"/>
        <v>0</v>
      </c>
      <c r="AN131" s="780"/>
    </row>
    <row r="132" spans="1:40" ht="12.75" customHeight="1">
      <c r="A132" s="773">
        <v>16</v>
      </c>
      <c r="B132" s="752" t="s">
        <v>139</v>
      </c>
      <c r="C132" s="804">
        <v>71035</v>
      </c>
      <c r="D132" s="783" t="s">
        <v>164</v>
      </c>
      <c r="E132" s="775">
        <v>2011</v>
      </c>
      <c r="F132" s="8" t="s">
        <v>14</v>
      </c>
      <c r="G132" s="32" t="s">
        <v>15</v>
      </c>
      <c r="H132" s="33"/>
      <c r="I132" s="118"/>
      <c r="J132" s="34"/>
      <c r="K132" s="34"/>
      <c r="L132" s="34"/>
      <c r="M132" s="34"/>
      <c r="N132" s="34"/>
      <c r="O132" s="34"/>
      <c r="P132" s="34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803">
        <f>SUM(J139:AM139)</f>
        <v>15000000</v>
      </c>
    </row>
    <row r="133" spans="1:40" ht="12.75">
      <c r="A133" s="774"/>
      <c r="B133" s="737"/>
      <c r="C133" s="782"/>
      <c r="D133" s="784"/>
      <c r="E133" s="776"/>
      <c r="F133" s="746">
        <f>SUM(H138:AM138)</f>
        <v>0</v>
      </c>
      <c r="G133" s="15" t="s">
        <v>16</v>
      </c>
      <c r="H133" s="16"/>
      <c r="I133" s="114">
        <v>10000000</v>
      </c>
      <c r="J133" s="18">
        <v>7000000</v>
      </c>
      <c r="K133" s="18">
        <v>8000000</v>
      </c>
      <c r="L133" s="18"/>
      <c r="M133" s="18"/>
      <c r="N133" s="18"/>
      <c r="O133" s="18"/>
      <c r="P133" s="18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779"/>
    </row>
    <row r="134" spans="1:40" ht="12.75">
      <c r="A134" s="774"/>
      <c r="B134" s="737"/>
      <c r="C134" s="782"/>
      <c r="D134" s="784"/>
      <c r="E134" s="776"/>
      <c r="F134" s="781"/>
      <c r="G134" s="15" t="s">
        <v>17</v>
      </c>
      <c r="H134" s="16"/>
      <c r="I134" s="114"/>
      <c r="J134" s="18"/>
      <c r="K134" s="18"/>
      <c r="L134" s="18"/>
      <c r="M134" s="18"/>
      <c r="N134" s="18"/>
      <c r="O134" s="18"/>
      <c r="P134" s="18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779"/>
    </row>
    <row r="135" spans="1:40" ht="12.75">
      <c r="A135" s="774"/>
      <c r="B135" s="737"/>
      <c r="C135" s="782"/>
      <c r="D135" s="784"/>
      <c r="E135" s="727"/>
      <c r="F135" s="21" t="s">
        <v>18</v>
      </c>
      <c r="G135" s="15" t="s">
        <v>19</v>
      </c>
      <c r="H135" s="16"/>
      <c r="I135" s="114"/>
      <c r="J135" s="18"/>
      <c r="K135" s="18"/>
      <c r="L135" s="18"/>
      <c r="M135" s="18"/>
      <c r="N135" s="18"/>
      <c r="O135" s="18"/>
      <c r="P135" s="18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779"/>
    </row>
    <row r="136" spans="1:40" ht="12.75">
      <c r="A136" s="774"/>
      <c r="B136" s="737"/>
      <c r="C136" s="782"/>
      <c r="D136" s="784"/>
      <c r="E136" s="723">
        <v>2013</v>
      </c>
      <c r="F136" s="746">
        <f>SUM(H139:AM139)</f>
        <v>25000000</v>
      </c>
      <c r="G136" s="15" t="s">
        <v>23</v>
      </c>
      <c r="H136" s="16"/>
      <c r="I136" s="114"/>
      <c r="J136" s="18"/>
      <c r="K136" s="18"/>
      <c r="L136" s="18"/>
      <c r="M136" s="18"/>
      <c r="N136" s="18"/>
      <c r="O136" s="18"/>
      <c r="P136" s="18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779"/>
    </row>
    <row r="137" spans="1:40" ht="12.75">
      <c r="A137" s="774"/>
      <c r="B137" s="737"/>
      <c r="C137" s="782"/>
      <c r="D137" s="784"/>
      <c r="E137" s="776"/>
      <c r="F137" s="781"/>
      <c r="G137" s="15" t="s">
        <v>24</v>
      </c>
      <c r="H137" s="16"/>
      <c r="I137" s="114"/>
      <c r="J137" s="18"/>
      <c r="K137" s="18"/>
      <c r="L137" s="18"/>
      <c r="M137" s="18"/>
      <c r="N137" s="18"/>
      <c r="O137" s="18"/>
      <c r="P137" s="18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779"/>
    </row>
    <row r="138" spans="1:40" ht="12.75">
      <c r="A138" s="774"/>
      <c r="B138" s="737"/>
      <c r="C138" s="782"/>
      <c r="D138" s="784"/>
      <c r="E138" s="776"/>
      <c r="F138" s="21" t="s">
        <v>22</v>
      </c>
      <c r="G138" s="15" t="s">
        <v>25</v>
      </c>
      <c r="H138" s="22">
        <f aca="true" t="shared" si="31" ref="H138:AM138">H132+H134+H136</f>
        <v>0</v>
      </c>
      <c r="I138" s="115">
        <f t="shared" si="31"/>
        <v>0</v>
      </c>
      <c r="J138" s="24">
        <f t="shared" si="31"/>
        <v>0</v>
      </c>
      <c r="K138" s="24">
        <f t="shared" si="31"/>
        <v>0</v>
      </c>
      <c r="L138" s="24">
        <f t="shared" si="31"/>
        <v>0</v>
      </c>
      <c r="M138" s="24">
        <f t="shared" si="31"/>
        <v>0</v>
      </c>
      <c r="N138" s="24">
        <f t="shared" si="31"/>
        <v>0</v>
      </c>
      <c r="O138" s="24">
        <f t="shared" si="31"/>
        <v>0</v>
      </c>
      <c r="P138" s="24">
        <f t="shared" si="31"/>
        <v>0</v>
      </c>
      <c r="Q138" s="24">
        <f t="shared" si="31"/>
        <v>0</v>
      </c>
      <c r="R138" s="24">
        <f t="shared" si="31"/>
        <v>0</v>
      </c>
      <c r="S138" s="24">
        <f t="shared" si="31"/>
        <v>0</v>
      </c>
      <c r="T138" s="24">
        <f t="shared" si="31"/>
        <v>0</v>
      </c>
      <c r="U138" s="24">
        <f t="shared" si="31"/>
        <v>0</v>
      </c>
      <c r="V138" s="24">
        <f t="shared" si="31"/>
        <v>0</v>
      </c>
      <c r="W138" s="24">
        <f t="shared" si="31"/>
        <v>0</v>
      </c>
      <c r="X138" s="24">
        <f t="shared" si="31"/>
        <v>0</v>
      </c>
      <c r="Y138" s="24">
        <f t="shared" si="31"/>
        <v>0</v>
      </c>
      <c r="Z138" s="24">
        <f t="shared" si="31"/>
        <v>0</v>
      </c>
      <c r="AA138" s="24">
        <f t="shared" si="31"/>
        <v>0</v>
      </c>
      <c r="AB138" s="24">
        <f t="shared" si="31"/>
        <v>0</v>
      </c>
      <c r="AC138" s="24">
        <f t="shared" si="31"/>
        <v>0</v>
      </c>
      <c r="AD138" s="24">
        <f t="shared" si="31"/>
        <v>0</v>
      </c>
      <c r="AE138" s="24">
        <f t="shared" si="31"/>
        <v>0</v>
      </c>
      <c r="AF138" s="24">
        <f t="shared" si="31"/>
        <v>0</v>
      </c>
      <c r="AG138" s="24">
        <f t="shared" si="31"/>
        <v>0</v>
      </c>
      <c r="AH138" s="24">
        <f t="shared" si="31"/>
        <v>0</v>
      </c>
      <c r="AI138" s="24">
        <f t="shared" si="31"/>
        <v>0</v>
      </c>
      <c r="AJ138" s="24">
        <f t="shared" si="31"/>
        <v>0</v>
      </c>
      <c r="AK138" s="24">
        <f t="shared" si="31"/>
        <v>0</v>
      </c>
      <c r="AL138" s="24">
        <f t="shared" si="31"/>
        <v>0</v>
      </c>
      <c r="AM138" s="24">
        <f t="shared" si="31"/>
        <v>0</v>
      </c>
      <c r="AN138" s="779"/>
    </row>
    <row r="139" spans="1:40" ht="13.5" thickBot="1">
      <c r="A139" s="806"/>
      <c r="B139" s="738"/>
      <c r="C139" s="805"/>
      <c r="D139" s="784"/>
      <c r="E139" s="777"/>
      <c r="F139" s="116">
        <f>F133+F136</f>
        <v>25000000</v>
      </c>
      <c r="G139" s="36" t="s">
        <v>26</v>
      </c>
      <c r="H139" s="37">
        <f aca="true" t="shared" si="32" ref="H139:AM139">H133+H135+H137</f>
        <v>0</v>
      </c>
      <c r="I139" s="119">
        <f t="shared" si="32"/>
        <v>10000000</v>
      </c>
      <c r="J139" s="29">
        <f t="shared" si="32"/>
        <v>7000000</v>
      </c>
      <c r="K139" s="29">
        <f t="shared" si="32"/>
        <v>8000000</v>
      </c>
      <c r="L139" s="29">
        <f t="shared" si="32"/>
        <v>0</v>
      </c>
      <c r="M139" s="29">
        <f t="shared" si="32"/>
        <v>0</v>
      </c>
      <c r="N139" s="29">
        <f t="shared" si="32"/>
        <v>0</v>
      </c>
      <c r="O139" s="29">
        <f t="shared" si="32"/>
        <v>0</v>
      </c>
      <c r="P139" s="29">
        <f t="shared" si="32"/>
        <v>0</v>
      </c>
      <c r="Q139" s="29">
        <f t="shared" si="32"/>
        <v>0</v>
      </c>
      <c r="R139" s="29">
        <f t="shared" si="32"/>
        <v>0</v>
      </c>
      <c r="S139" s="29">
        <f t="shared" si="32"/>
        <v>0</v>
      </c>
      <c r="T139" s="29">
        <f t="shared" si="32"/>
        <v>0</v>
      </c>
      <c r="U139" s="29">
        <f t="shared" si="32"/>
        <v>0</v>
      </c>
      <c r="V139" s="29">
        <f t="shared" si="32"/>
        <v>0</v>
      </c>
      <c r="W139" s="29">
        <f t="shared" si="32"/>
        <v>0</v>
      </c>
      <c r="X139" s="29">
        <f t="shared" si="32"/>
        <v>0</v>
      </c>
      <c r="Y139" s="29">
        <f t="shared" si="32"/>
        <v>0</v>
      </c>
      <c r="Z139" s="29">
        <f t="shared" si="32"/>
        <v>0</v>
      </c>
      <c r="AA139" s="29">
        <f t="shared" si="32"/>
        <v>0</v>
      </c>
      <c r="AB139" s="29">
        <f t="shared" si="32"/>
        <v>0</v>
      </c>
      <c r="AC139" s="29">
        <f t="shared" si="32"/>
        <v>0</v>
      </c>
      <c r="AD139" s="29">
        <f t="shared" si="32"/>
        <v>0</v>
      </c>
      <c r="AE139" s="29">
        <f t="shared" si="32"/>
        <v>0</v>
      </c>
      <c r="AF139" s="29">
        <f t="shared" si="32"/>
        <v>0</v>
      </c>
      <c r="AG139" s="29">
        <f t="shared" si="32"/>
        <v>0</v>
      </c>
      <c r="AH139" s="29">
        <f t="shared" si="32"/>
        <v>0</v>
      </c>
      <c r="AI139" s="29">
        <f t="shared" si="32"/>
        <v>0</v>
      </c>
      <c r="AJ139" s="29">
        <f t="shared" si="32"/>
        <v>0</v>
      </c>
      <c r="AK139" s="29">
        <f t="shared" si="32"/>
        <v>0</v>
      </c>
      <c r="AL139" s="29">
        <f t="shared" si="32"/>
        <v>0</v>
      </c>
      <c r="AM139" s="29">
        <f t="shared" si="32"/>
        <v>0</v>
      </c>
      <c r="AN139" s="780"/>
    </row>
    <row r="140" spans="1:40" ht="12.75" customHeight="1">
      <c r="A140" s="774">
        <v>17</v>
      </c>
      <c r="B140" s="737" t="s">
        <v>135</v>
      </c>
      <c r="C140" s="782">
        <v>71035</v>
      </c>
      <c r="D140" s="783" t="s">
        <v>164</v>
      </c>
      <c r="E140" s="776">
        <v>2011</v>
      </c>
      <c r="F140" s="8" t="s">
        <v>14</v>
      </c>
      <c r="G140" s="9" t="s">
        <v>15</v>
      </c>
      <c r="H140" s="33"/>
      <c r="I140" s="113"/>
      <c r="J140" s="12"/>
      <c r="K140" s="12"/>
      <c r="L140" s="12"/>
      <c r="M140" s="12"/>
      <c r="N140" s="12"/>
      <c r="O140" s="12"/>
      <c r="P140" s="12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803">
        <f>SUM(J147:AM147)</f>
        <v>400000</v>
      </c>
    </row>
    <row r="141" spans="1:40" ht="12.75">
      <c r="A141" s="774"/>
      <c r="B141" s="737"/>
      <c r="C141" s="782"/>
      <c r="D141" s="784"/>
      <c r="E141" s="776"/>
      <c r="F141" s="746">
        <f>SUM(H146:AM146)</f>
        <v>0</v>
      </c>
      <c r="G141" s="15" t="s">
        <v>16</v>
      </c>
      <c r="H141" s="16"/>
      <c r="I141" s="114">
        <v>280000</v>
      </c>
      <c r="J141" s="18">
        <v>200000</v>
      </c>
      <c r="K141" s="18">
        <v>200000</v>
      </c>
      <c r="L141" s="18"/>
      <c r="M141" s="18"/>
      <c r="N141" s="18"/>
      <c r="O141" s="18"/>
      <c r="P141" s="18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779"/>
    </row>
    <row r="142" spans="1:40" ht="12.75">
      <c r="A142" s="774"/>
      <c r="B142" s="737"/>
      <c r="C142" s="782"/>
      <c r="D142" s="784"/>
      <c r="E142" s="776"/>
      <c r="F142" s="781"/>
      <c r="G142" s="15" t="s">
        <v>17</v>
      </c>
      <c r="H142" s="16"/>
      <c r="I142" s="114"/>
      <c r="J142" s="18"/>
      <c r="K142" s="18"/>
      <c r="L142" s="18"/>
      <c r="M142" s="18"/>
      <c r="N142" s="18"/>
      <c r="O142" s="18"/>
      <c r="P142" s="18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779"/>
    </row>
    <row r="143" spans="1:40" ht="12.75">
      <c r="A143" s="774"/>
      <c r="B143" s="737"/>
      <c r="C143" s="782"/>
      <c r="D143" s="784"/>
      <c r="E143" s="727"/>
      <c r="F143" s="21" t="s">
        <v>18</v>
      </c>
      <c r="G143" s="15" t="s">
        <v>19</v>
      </c>
      <c r="H143" s="16"/>
      <c r="I143" s="114"/>
      <c r="J143" s="18"/>
      <c r="K143" s="18"/>
      <c r="L143" s="18"/>
      <c r="M143" s="18"/>
      <c r="N143" s="18"/>
      <c r="O143" s="18"/>
      <c r="P143" s="18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779"/>
    </row>
    <row r="144" spans="1:40" ht="12.75">
      <c r="A144" s="774"/>
      <c r="B144" s="737"/>
      <c r="C144" s="782"/>
      <c r="D144" s="784"/>
      <c r="E144" s="723">
        <v>2013</v>
      </c>
      <c r="F144" s="746">
        <f>SUM(H147:AM147)</f>
        <v>680000</v>
      </c>
      <c r="G144" s="15" t="s">
        <v>23</v>
      </c>
      <c r="H144" s="16"/>
      <c r="I144" s="114"/>
      <c r="J144" s="18"/>
      <c r="K144" s="18"/>
      <c r="L144" s="18"/>
      <c r="M144" s="18"/>
      <c r="N144" s="18"/>
      <c r="O144" s="18"/>
      <c r="P144" s="18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779"/>
    </row>
    <row r="145" spans="1:40" ht="12.75">
      <c r="A145" s="774"/>
      <c r="B145" s="737"/>
      <c r="C145" s="782"/>
      <c r="D145" s="784"/>
      <c r="E145" s="776"/>
      <c r="F145" s="781"/>
      <c r="G145" s="15" t="s">
        <v>24</v>
      </c>
      <c r="H145" s="16"/>
      <c r="I145" s="114"/>
      <c r="J145" s="18"/>
      <c r="K145" s="18"/>
      <c r="L145" s="18"/>
      <c r="M145" s="18"/>
      <c r="N145" s="18"/>
      <c r="O145" s="18"/>
      <c r="P145" s="18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779"/>
    </row>
    <row r="146" spans="1:40" ht="12.75">
      <c r="A146" s="774"/>
      <c r="B146" s="737"/>
      <c r="C146" s="782"/>
      <c r="D146" s="784"/>
      <c r="E146" s="776"/>
      <c r="F146" s="21" t="s">
        <v>22</v>
      </c>
      <c r="G146" s="15" t="s">
        <v>25</v>
      </c>
      <c r="H146" s="22">
        <f aca="true" t="shared" si="33" ref="H146:AM146">H140+H142+H144</f>
        <v>0</v>
      </c>
      <c r="I146" s="115">
        <f t="shared" si="33"/>
        <v>0</v>
      </c>
      <c r="J146" s="24">
        <f t="shared" si="33"/>
        <v>0</v>
      </c>
      <c r="K146" s="24">
        <f t="shared" si="33"/>
        <v>0</v>
      </c>
      <c r="L146" s="24">
        <f t="shared" si="33"/>
        <v>0</v>
      </c>
      <c r="M146" s="24">
        <f t="shared" si="33"/>
        <v>0</v>
      </c>
      <c r="N146" s="24">
        <f t="shared" si="33"/>
        <v>0</v>
      </c>
      <c r="O146" s="24">
        <f t="shared" si="33"/>
        <v>0</v>
      </c>
      <c r="P146" s="24">
        <f t="shared" si="33"/>
        <v>0</v>
      </c>
      <c r="Q146" s="24">
        <f t="shared" si="33"/>
        <v>0</v>
      </c>
      <c r="R146" s="24">
        <f t="shared" si="33"/>
        <v>0</v>
      </c>
      <c r="S146" s="24">
        <f t="shared" si="33"/>
        <v>0</v>
      </c>
      <c r="T146" s="24">
        <f t="shared" si="33"/>
        <v>0</v>
      </c>
      <c r="U146" s="24">
        <f t="shared" si="33"/>
        <v>0</v>
      </c>
      <c r="V146" s="24">
        <f t="shared" si="33"/>
        <v>0</v>
      </c>
      <c r="W146" s="24">
        <f t="shared" si="33"/>
        <v>0</v>
      </c>
      <c r="X146" s="24">
        <f t="shared" si="33"/>
        <v>0</v>
      </c>
      <c r="Y146" s="24">
        <f t="shared" si="33"/>
        <v>0</v>
      </c>
      <c r="Z146" s="24">
        <f t="shared" si="33"/>
        <v>0</v>
      </c>
      <c r="AA146" s="24">
        <f t="shared" si="33"/>
        <v>0</v>
      </c>
      <c r="AB146" s="24">
        <f t="shared" si="33"/>
        <v>0</v>
      </c>
      <c r="AC146" s="24">
        <f t="shared" si="33"/>
        <v>0</v>
      </c>
      <c r="AD146" s="24">
        <f t="shared" si="33"/>
        <v>0</v>
      </c>
      <c r="AE146" s="24">
        <f t="shared" si="33"/>
        <v>0</v>
      </c>
      <c r="AF146" s="24">
        <f t="shared" si="33"/>
        <v>0</v>
      </c>
      <c r="AG146" s="24">
        <f t="shared" si="33"/>
        <v>0</v>
      </c>
      <c r="AH146" s="24">
        <f t="shared" si="33"/>
        <v>0</v>
      </c>
      <c r="AI146" s="24">
        <f t="shared" si="33"/>
        <v>0</v>
      </c>
      <c r="AJ146" s="24">
        <f t="shared" si="33"/>
        <v>0</v>
      </c>
      <c r="AK146" s="24">
        <f t="shared" si="33"/>
        <v>0</v>
      </c>
      <c r="AL146" s="24">
        <f t="shared" si="33"/>
        <v>0</v>
      </c>
      <c r="AM146" s="24">
        <f t="shared" si="33"/>
        <v>0</v>
      </c>
      <c r="AN146" s="779"/>
    </row>
    <row r="147" spans="1:40" ht="13.5" thickBot="1">
      <c r="A147" s="774"/>
      <c r="B147" s="737"/>
      <c r="C147" s="782"/>
      <c r="D147" s="784"/>
      <c r="E147" s="776"/>
      <c r="F147" s="116">
        <f>F141+F144</f>
        <v>680000</v>
      </c>
      <c r="G147" s="26" t="s">
        <v>26</v>
      </c>
      <c r="H147" s="37">
        <f aca="true" t="shared" si="34" ref="H147:AM147">H141+H143+H145</f>
        <v>0</v>
      </c>
      <c r="I147" s="117">
        <f t="shared" si="34"/>
        <v>280000</v>
      </c>
      <c r="J147" s="30">
        <f t="shared" si="34"/>
        <v>200000</v>
      </c>
      <c r="K147" s="30">
        <f t="shared" si="34"/>
        <v>200000</v>
      </c>
      <c r="L147" s="30">
        <f t="shared" si="34"/>
        <v>0</v>
      </c>
      <c r="M147" s="30">
        <f t="shared" si="34"/>
        <v>0</v>
      </c>
      <c r="N147" s="30">
        <f t="shared" si="34"/>
        <v>0</v>
      </c>
      <c r="O147" s="30">
        <f t="shared" si="34"/>
        <v>0</v>
      </c>
      <c r="P147" s="30">
        <f t="shared" si="34"/>
        <v>0</v>
      </c>
      <c r="Q147" s="30">
        <f t="shared" si="34"/>
        <v>0</v>
      </c>
      <c r="R147" s="30">
        <f t="shared" si="34"/>
        <v>0</v>
      </c>
      <c r="S147" s="30">
        <f t="shared" si="34"/>
        <v>0</v>
      </c>
      <c r="T147" s="30">
        <f t="shared" si="34"/>
        <v>0</v>
      </c>
      <c r="U147" s="30">
        <f t="shared" si="34"/>
        <v>0</v>
      </c>
      <c r="V147" s="30">
        <f t="shared" si="34"/>
        <v>0</v>
      </c>
      <c r="W147" s="30">
        <f t="shared" si="34"/>
        <v>0</v>
      </c>
      <c r="X147" s="30">
        <f t="shared" si="34"/>
        <v>0</v>
      </c>
      <c r="Y147" s="30">
        <f t="shared" si="34"/>
        <v>0</v>
      </c>
      <c r="Z147" s="30">
        <f t="shared" si="34"/>
        <v>0</v>
      </c>
      <c r="AA147" s="30">
        <f t="shared" si="34"/>
        <v>0</v>
      </c>
      <c r="AB147" s="30">
        <f t="shared" si="34"/>
        <v>0</v>
      </c>
      <c r="AC147" s="30">
        <f t="shared" si="34"/>
        <v>0</v>
      </c>
      <c r="AD147" s="30">
        <f t="shared" si="34"/>
        <v>0</v>
      </c>
      <c r="AE147" s="30">
        <f t="shared" si="34"/>
        <v>0</v>
      </c>
      <c r="AF147" s="30">
        <f t="shared" si="34"/>
        <v>0</v>
      </c>
      <c r="AG147" s="30">
        <f t="shared" si="34"/>
        <v>0</v>
      </c>
      <c r="AH147" s="30">
        <f t="shared" si="34"/>
        <v>0</v>
      </c>
      <c r="AI147" s="30">
        <f t="shared" si="34"/>
        <v>0</v>
      </c>
      <c r="AJ147" s="30">
        <f t="shared" si="34"/>
        <v>0</v>
      </c>
      <c r="AK147" s="30">
        <f t="shared" si="34"/>
        <v>0</v>
      </c>
      <c r="AL147" s="30">
        <f t="shared" si="34"/>
        <v>0</v>
      </c>
      <c r="AM147" s="30">
        <f t="shared" si="34"/>
        <v>0</v>
      </c>
      <c r="AN147" s="780"/>
    </row>
    <row r="148" spans="1:40" ht="12.75" customHeight="1">
      <c r="A148" s="773">
        <v>18</v>
      </c>
      <c r="B148" s="752" t="s">
        <v>135</v>
      </c>
      <c r="C148" s="804">
        <v>75023</v>
      </c>
      <c r="D148" s="783" t="s">
        <v>164</v>
      </c>
      <c r="E148" s="775"/>
      <c r="F148" s="8" t="s">
        <v>14</v>
      </c>
      <c r="G148" s="32" t="s">
        <v>15</v>
      </c>
      <c r="H148" s="33"/>
      <c r="I148" s="118"/>
      <c r="J148" s="34"/>
      <c r="K148" s="34"/>
      <c r="L148" s="34"/>
      <c r="M148" s="34"/>
      <c r="N148" s="34"/>
      <c r="O148" s="34"/>
      <c r="P148" s="34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803">
        <f>SUM(J155:AM155)</f>
        <v>0</v>
      </c>
    </row>
    <row r="149" spans="1:40" ht="12.75">
      <c r="A149" s="774"/>
      <c r="B149" s="737"/>
      <c r="C149" s="782"/>
      <c r="D149" s="784"/>
      <c r="E149" s="776"/>
      <c r="F149" s="746">
        <f>SUM(H154:AM154)</f>
        <v>0</v>
      </c>
      <c r="G149" s="15" t="s">
        <v>16</v>
      </c>
      <c r="H149" s="16"/>
      <c r="I149" s="114">
        <v>1800000</v>
      </c>
      <c r="J149" s="18"/>
      <c r="K149" s="18"/>
      <c r="L149" s="18"/>
      <c r="M149" s="18"/>
      <c r="N149" s="18"/>
      <c r="O149" s="18"/>
      <c r="P149" s="18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779"/>
    </row>
    <row r="150" spans="1:40" ht="12.75">
      <c r="A150" s="774"/>
      <c r="B150" s="737"/>
      <c r="C150" s="782"/>
      <c r="D150" s="784"/>
      <c r="E150" s="776"/>
      <c r="F150" s="781"/>
      <c r="G150" s="15" t="s">
        <v>17</v>
      </c>
      <c r="H150" s="16"/>
      <c r="I150" s="114"/>
      <c r="J150" s="18"/>
      <c r="K150" s="18"/>
      <c r="L150" s="18"/>
      <c r="M150" s="18"/>
      <c r="N150" s="18"/>
      <c r="O150" s="18"/>
      <c r="P150" s="18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779"/>
    </row>
    <row r="151" spans="1:40" ht="12.75">
      <c r="A151" s="774"/>
      <c r="B151" s="737"/>
      <c r="C151" s="782"/>
      <c r="D151" s="784"/>
      <c r="E151" s="727"/>
      <c r="F151" s="21" t="s">
        <v>18</v>
      </c>
      <c r="G151" s="15" t="s">
        <v>19</v>
      </c>
      <c r="H151" s="16"/>
      <c r="I151" s="114"/>
      <c r="J151" s="18"/>
      <c r="K151" s="18"/>
      <c r="L151" s="18"/>
      <c r="M151" s="18"/>
      <c r="N151" s="18"/>
      <c r="O151" s="18"/>
      <c r="P151" s="18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779"/>
    </row>
    <row r="152" spans="1:40" ht="12.75">
      <c r="A152" s="774"/>
      <c r="B152" s="737"/>
      <c r="C152" s="782"/>
      <c r="D152" s="784"/>
      <c r="E152" s="723"/>
      <c r="F152" s="746">
        <f>SUM(H155:AM155)</f>
        <v>1800000</v>
      </c>
      <c r="G152" s="15" t="s">
        <v>23</v>
      </c>
      <c r="H152" s="16"/>
      <c r="I152" s="114"/>
      <c r="J152" s="18"/>
      <c r="K152" s="18"/>
      <c r="L152" s="18"/>
      <c r="M152" s="18"/>
      <c r="N152" s="18"/>
      <c r="O152" s="18"/>
      <c r="P152" s="18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779"/>
    </row>
    <row r="153" spans="1:40" ht="12.75">
      <c r="A153" s="774"/>
      <c r="B153" s="737"/>
      <c r="C153" s="782"/>
      <c r="D153" s="784"/>
      <c r="E153" s="776"/>
      <c r="F153" s="781"/>
      <c r="G153" s="15" t="s">
        <v>24</v>
      </c>
      <c r="H153" s="16"/>
      <c r="I153" s="114"/>
      <c r="J153" s="18"/>
      <c r="K153" s="18"/>
      <c r="L153" s="18"/>
      <c r="M153" s="18"/>
      <c r="N153" s="18"/>
      <c r="O153" s="18"/>
      <c r="P153" s="18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779"/>
    </row>
    <row r="154" spans="1:40" ht="12.75">
      <c r="A154" s="774"/>
      <c r="B154" s="737"/>
      <c r="C154" s="782"/>
      <c r="D154" s="784"/>
      <c r="E154" s="776"/>
      <c r="F154" s="21" t="s">
        <v>22</v>
      </c>
      <c r="G154" s="15" t="s">
        <v>25</v>
      </c>
      <c r="H154" s="22">
        <f aca="true" t="shared" si="35" ref="H154:AM154">H148+H150+H152</f>
        <v>0</v>
      </c>
      <c r="I154" s="115">
        <f t="shared" si="35"/>
        <v>0</v>
      </c>
      <c r="J154" s="24">
        <f t="shared" si="35"/>
        <v>0</v>
      </c>
      <c r="K154" s="24">
        <f t="shared" si="35"/>
        <v>0</v>
      </c>
      <c r="L154" s="24">
        <f t="shared" si="35"/>
        <v>0</v>
      </c>
      <c r="M154" s="24">
        <f t="shared" si="35"/>
        <v>0</v>
      </c>
      <c r="N154" s="24">
        <f t="shared" si="35"/>
        <v>0</v>
      </c>
      <c r="O154" s="24">
        <f t="shared" si="35"/>
        <v>0</v>
      </c>
      <c r="P154" s="24">
        <f t="shared" si="35"/>
        <v>0</v>
      </c>
      <c r="Q154" s="24">
        <f t="shared" si="35"/>
        <v>0</v>
      </c>
      <c r="R154" s="24">
        <f t="shared" si="35"/>
        <v>0</v>
      </c>
      <c r="S154" s="24">
        <f t="shared" si="35"/>
        <v>0</v>
      </c>
      <c r="T154" s="24">
        <f t="shared" si="35"/>
        <v>0</v>
      </c>
      <c r="U154" s="24">
        <f t="shared" si="35"/>
        <v>0</v>
      </c>
      <c r="V154" s="24">
        <f t="shared" si="35"/>
        <v>0</v>
      </c>
      <c r="W154" s="24">
        <f t="shared" si="35"/>
        <v>0</v>
      </c>
      <c r="X154" s="24">
        <f t="shared" si="35"/>
        <v>0</v>
      </c>
      <c r="Y154" s="24">
        <f t="shared" si="35"/>
        <v>0</v>
      </c>
      <c r="Z154" s="24">
        <f t="shared" si="35"/>
        <v>0</v>
      </c>
      <c r="AA154" s="24">
        <f t="shared" si="35"/>
        <v>0</v>
      </c>
      <c r="AB154" s="24">
        <f t="shared" si="35"/>
        <v>0</v>
      </c>
      <c r="AC154" s="24">
        <f t="shared" si="35"/>
        <v>0</v>
      </c>
      <c r="AD154" s="24">
        <f t="shared" si="35"/>
        <v>0</v>
      </c>
      <c r="AE154" s="24">
        <f t="shared" si="35"/>
        <v>0</v>
      </c>
      <c r="AF154" s="24">
        <f t="shared" si="35"/>
        <v>0</v>
      </c>
      <c r="AG154" s="24">
        <f t="shared" si="35"/>
        <v>0</v>
      </c>
      <c r="AH154" s="24">
        <f t="shared" si="35"/>
        <v>0</v>
      </c>
      <c r="AI154" s="24">
        <f t="shared" si="35"/>
        <v>0</v>
      </c>
      <c r="AJ154" s="24">
        <f t="shared" si="35"/>
        <v>0</v>
      </c>
      <c r="AK154" s="24">
        <f t="shared" si="35"/>
        <v>0</v>
      </c>
      <c r="AL154" s="24">
        <f t="shared" si="35"/>
        <v>0</v>
      </c>
      <c r="AM154" s="24">
        <f t="shared" si="35"/>
        <v>0</v>
      </c>
      <c r="AN154" s="779"/>
    </row>
    <row r="155" spans="1:40" ht="13.5" thickBot="1">
      <c r="A155" s="806"/>
      <c r="B155" s="738"/>
      <c r="C155" s="805"/>
      <c r="D155" s="784"/>
      <c r="E155" s="777"/>
      <c r="F155" s="116">
        <f>F149+F152</f>
        <v>1800000</v>
      </c>
      <c r="G155" s="36" t="s">
        <v>26</v>
      </c>
      <c r="H155" s="37">
        <f aca="true" t="shared" si="36" ref="H155:AM155">H149+H151+H153</f>
        <v>0</v>
      </c>
      <c r="I155" s="119">
        <f t="shared" si="36"/>
        <v>1800000</v>
      </c>
      <c r="J155" s="29">
        <f t="shared" si="36"/>
        <v>0</v>
      </c>
      <c r="K155" s="29">
        <f t="shared" si="36"/>
        <v>0</v>
      </c>
      <c r="L155" s="29">
        <f t="shared" si="36"/>
        <v>0</v>
      </c>
      <c r="M155" s="29">
        <f t="shared" si="36"/>
        <v>0</v>
      </c>
      <c r="N155" s="29">
        <f t="shared" si="36"/>
        <v>0</v>
      </c>
      <c r="O155" s="29">
        <f t="shared" si="36"/>
        <v>0</v>
      </c>
      <c r="P155" s="29">
        <f t="shared" si="36"/>
        <v>0</v>
      </c>
      <c r="Q155" s="29">
        <f t="shared" si="36"/>
        <v>0</v>
      </c>
      <c r="R155" s="29">
        <f t="shared" si="36"/>
        <v>0</v>
      </c>
      <c r="S155" s="29">
        <f t="shared" si="36"/>
        <v>0</v>
      </c>
      <c r="T155" s="29">
        <f t="shared" si="36"/>
        <v>0</v>
      </c>
      <c r="U155" s="29">
        <f t="shared" si="36"/>
        <v>0</v>
      </c>
      <c r="V155" s="29">
        <f t="shared" si="36"/>
        <v>0</v>
      </c>
      <c r="W155" s="29">
        <f t="shared" si="36"/>
        <v>0</v>
      </c>
      <c r="X155" s="29">
        <f t="shared" si="36"/>
        <v>0</v>
      </c>
      <c r="Y155" s="29">
        <f t="shared" si="36"/>
        <v>0</v>
      </c>
      <c r="Z155" s="29">
        <f t="shared" si="36"/>
        <v>0</v>
      </c>
      <c r="AA155" s="29">
        <f t="shared" si="36"/>
        <v>0</v>
      </c>
      <c r="AB155" s="29">
        <f t="shared" si="36"/>
        <v>0</v>
      </c>
      <c r="AC155" s="29">
        <f t="shared" si="36"/>
        <v>0</v>
      </c>
      <c r="AD155" s="29">
        <f t="shared" si="36"/>
        <v>0</v>
      </c>
      <c r="AE155" s="29">
        <f t="shared" si="36"/>
        <v>0</v>
      </c>
      <c r="AF155" s="29">
        <f t="shared" si="36"/>
        <v>0</v>
      </c>
      <c r="AG155" s="29">
        <f t="shared" si="36"/>
        <v>0</v>
      </c>
      <c r="AH155" s="29">
        <f t="shared" si="36"/>
        <v>0</v>
      </c>
      <c r="AI155" s="29">
        <f t="shared" si="36"/>
        <v>0</v>
      </c>
      <c r="AJ155" s="29">
        <f t="shared" si="36"/>
        <v>0</v>
      </c>
      <c r="AK155" s="29">
        <f t="shared" si="36"/>
        <v>0</v>
      </c>
      <c r="AL155" s="29">
        <f t="shared" si="36"/>
        <v>0</v>
      </c>
      <c r="AM155" s="29">
        <f t="shared" si="36"/>
        <v>0</v>
      </c>
      <c r="AN155" s="780"/>
    </row>
    <row r="156" spans="1:40" ht="12.75" customHeight="1">
      <c r="A156" s="773">
        <v>19</v>
      </c>
      <c r="B156" s="752" t="s">
        <v>140</v>
      </c>
      <c r="C156" s="804">
        <v>75495</v>
      </c>
      <c r="D156" s="783" t="s">
        <v>164</v>
      </c>
      <c r="E156" s="775">
        <v>2008</v>
      </c>
      <c r="F156" s="8" t="s">
        <v>14</v>
      </c>
      <c r="G156" s="32" t="s">
        <v>15</v>
      </c>
      <c r="H156" s="33"/>
      <c r="I156" s="118"/>
      <c r="J156" s="34"/>
      <c r="K156" s="34"/>
      <c r="L156" s="34"/>
      <c r="M156" s="34"/>
      <c r="N156" s="34"/>
      <c r="O156" s="34"/>
      <c r="P156" s="34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803">
        <f>SUM(J163:AM163)</f>
        <v>4400</v>
      </c>
    </row>
    <row r="157" spans="1:40" ht="12.75">
      <c r="A157" s="774"/>
      <c r="B157" s="737"/>
      <c r="C157" s="782"/>
      <c r="D157" s="784"/>
      <c r="E157" s="776"/>
      <c r="F157" s="746">
        <f>SUM(H162:AM162)</f>
        <v>0</v>
      </c>
      <c r="G157" s="15" t="s">
        <v>16</v>
      </c>
      <c r="H157" s="16">
        <v>679316</v>
      </c>
      <c r="I157" s="114">
        <v>2200</v>
      </c>
      <c r="J157" s="18">
        <v>2200</v>
      </c>
      <c r="K157" s="18">
        <v>2200</v>
      </c>
      <c r="L157" s="18"/>
      <c r="M157" s="18"/>
      <c r="N157" s="18"/>
      <c r="O157" s="18"/>
      <c r="P157" s="18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779"/>
    </row>
    <row r="158" spans="1:40" ht="12.75">
      <c r="A158" s="774"/>
      <c r="B158" s="737"/>
      <c r="C158" s="782"/>
      <c r="D158" s="784"/>
      <c r="E158" s="776"/>
      <c r="F158" s="781"/>
      <c r="G158" s="15" t="s">
        <v>17</v>
      </c>
      <c r="H158" s="16"/>
      <c r="I158" s="114"/>
      <c r="J158" s="18"/>
      <c r="K158" s="18"/>
      <c r="L158" s="18"/>
      <c r="M158" s="18"/>
      <c r="N158" s="18"/>
      <c r="O158" s="18"/>
      <c r="P158" s="18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779"/>
    </row>
    <row r="159" spans="1:40" ht="12.75">
      <c r="A159" s="774"/>
      <c r="B159" s="737"/>
      <c r="C159" s="782"/>
      <c r="D159" s="784"/>
      <c r="E159" s="727"/>
      <c r="F159" s="21" t="s">
        <v>18</v>
      </c>
      <c r="G159" s="15" t="s">
        <v>19</v>
      </c>
      <c r="H159" s="16"/>
      <c r="I159" s="114"/>
      <c r="J159" s="18"/>
      <c r="K159" s="18"/>
      <c r="L159" s="18"/>
      <c r="M159" s="18"/>
      <c r="N159" s="18"/>
      <c r="O159" s="18"/>
      <c r="P159" s="18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779"/>
    </row>
    <row r="160" spans="1:40" ht="12.75">
      <c r="A160" s="774"/>
      <c r="B160" s="737"/>
      <c r="C160" s="782"/>
      <c r="D160" s="784"/>
      <c r="E160" s="723">
        <v>2013</v>
      </c>
      <c r="F160" s="746">
        <f>SUM(H163:AM163)</f>
        <v>685916</v>
      </c>
      <c r="G160" s="15" t="s">
        <v>23</v>
      </c>
      <c r="H160" s="16"/>
      <c r="I160" s="114"/>
      <c r="J160" s="18"/>
      <c r="K160" s="18"/>
      <c r="L160" s="18"/>
      <c r="M160" s="18"/>
      <c r="N160" s="18"/>
      <c r="O160" s="18"/>
      <c r="P160" s="18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779"/>
    </row>
    <row r="161" spans="1:40" ht="12.75">
      <c r="A161" s="774"/>
      <c r="B161" s="737"/>
      <c r="C161" s="782"/>
      <c r="D161" s="784"/>
      <c r="E161" s="776"/>
      <c r="F161" s="781"/>
      <c r="G161" s="15" t="s">
        <v>24</v>
      </c>
      <c r="H161" s="16"/>
      <c r="I161" s="114"/>
      <c r="J161" s="18"/>
      <c r="K161" s="18"/>
      <c r="L161" s="18"/>
      <c r="M161" s="18"/>
      <c r="N161" s="18"/>
      <c r="O161" s="18"/>
      <c r="P161" s="18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779"/>
    </row>
    <row r="162" spans="1:40" ht="12.75">
      <c r="A162" s="774"/>
      <c r="B162" s="737"/>
      <c r="C162" s="782"/>
      <c r="D162" s="784"/>
      <c r="E162" s="776"/>
      <c r="F162" s="21" t="s">
        <v>22</v>
      </c>
      <c r="G162" s="15" t="s">
        <v>25</v>
      </c>
      <c r="H162" s="22">
        <f aca="true" t="shared" si="37" ref="H162:AM162">H156+H158+H160</f>
        <v>0</v>
      </c>
      <c r="I162" s="115">
        <f t="shared" si="37"/>
        <v>0</v>
      </c>
      <c r="J162" s="24">
        <f t="shared" si="37"/>
        <v>0</v>
      </c>
      <c r="K162" s="24">
        <f t="shared" si="37"/>
        <v>0</v>
      </c>
      <c r="L162" s="24">
        <f t="shared" si="37"/>
        <v>0</v>
      </c>
      <c r="M162" s="24">
        <f t="shared" si="37"/>
        <v>0</v>
      </c>
      <c r="N162" s="24">
        <f t="shared" si="37"/>
        <v>0</v>
      </c>
      <c r="O162" s="24">
        <f t="shared" si="37"/>
        <v>0</v>
      </c>
      <c r="P162" s="24">
        <f t="shared" si="37"/>
        <v>0</v>
      </c>
      <c r="Q162" s="24">
        <f t="shared" si="37"/>
        <v>0</v>
      </c>
      <c r="R162" s="24">
        <f t="shared" si="37"/>
        <v>0</v>
      </c>
      <c r="S162" s="24">
        <f t="shared" si="37"/>
        <v>0</v>
      </c>
      <c r="T162" s="24">
        <f t="shared" si="37"/>
        <v>0</v>
      </c>
      <c r="U162" s="24">
        <f t="shared" si="37"/>
        <v>0</v>
      </c>
      <c r="V162" s="24">
        <f t="shared" si="37"/>
        <v>0</v>
      </c>
      <c r="W162" s="24">
        <f t="shared" si="37"/>
        <v>0</v>
      </c>
      <c r="X162" s="24">
        <f t="shared" si="37"/>
        <v>0</v>
      </c>
      <c r="Y162" s="24">
        <f t="shared" si="37"/>
        <v>0</v>
      </c>
      <c r="Z162" s="24">
        <f t="shared" si="37"/>
        <v>0</v>
      </c>
      <c r="AA162" s="24">
        <f t="shared" si="37"/>
        <v>0</v>
      </c>
      <c r="AB162" s="24">
        <f t="shared" si="37"/>
        <v>0</v>
      </c>
      <c r="AC162" s="24">
        <f t="shared" si="37"/>
        <v>0</v>
      </c>
      <c r="AD162" s="24">
        <f t="shared" si="37"/>
        <v>0</v>
      </c>
      <c r="AE162" s="24">
        <f t="shared" si="37"/>
        <v>0</v>
      </c>
      <c r="AF162" s="24">
        <f t="shared" si="37"/>
        <v>0</v>
      </c>
      <c r="AG162" s="24">
        <f t="shared" si="37"/>
        <v>0</v>
      </c>
      <c r="AH162" s="24">
        <f t="shared" si="37"/>
        <v>0</v>
      </c>
      <c r="AI162" s="24">
        <f t="shared" si="37"/>
        <v>0</v>
      </c>
      <c r="AJ162" s="24">
        <f t="shared" si="37"/>
        <v>0</v>
      </c>
      <c r="AK162" s="24">
        <f t="shared" si="37"/>
        <v>0</v>
      </c>
      <c r="AL162" s="24">
        <f t="shared" si="37"/>
        <v>0</v>
      </c>
      <c r="AM162" s="24">
        <f t="shared" si="37"/>
        <v>0</v>
      </c>
      <c r="AN162" s="779"/>
    </row>
    <row r="163" spans="1:40" ht="18" customHeight="1" thickBot="1">
      <c r="A163" s="806"/>
      <c r="B163" s="738"/>
      <c r="C163" s="805"/>
      <c r="D163" s="771"/>
      <c r="E163" s="777"/>
      <c r="F163" s="116">
        <f>F157+F160</f>
        <v>685916</v>
      </c>
      <c r="G163" s="36" t="s">
        <v>26</v>
      </c>
      <c r="H163" s="37">
        <f aca="true" t="shared" si="38" ref="H163:AM163">H157+H159+H161</f>
        <v>679316</v>
      </c>
      <c r="I163" s="119">
        <f t="shared" si="38"/>
        <v>2200</v>
      </c>
      <c r="J163" s="29">
        <f t="shared" si="38"/>
        <v>2200</v>
      </c>
      <c r="K163" s="29">
        <f t="shared" si="38"/>
        <v>2200</v>
      </c>
      <c r="L163" s="29">
        <f t="shared" si="38"/>
        <v>0</v>
      </c>
      <c r="M163" s="29">
        <f t="shared" si="38"/>
        <v>0</v>
      </c>
      <c r="N163" s="29">
        <f t="shared" si="38"/>
        <v>0</v>
      </c>
      <c r="O163" s="29">
        <f t="shared" si="38"/>
        <v>0</v>
      </c>
      <c r="P163" s="29">
        <f t="shared" si="38"/>
        <v>0</v>
      </c>
      <c r="Q163" s="29">
        <f t="shared" si="38"/>
        <v>0</v>
      </c>
      <c r="R163" s="29">
        <f t="shared" si="38"/>
        <v>0</v>
      </c>
      <c r="S163" s="29">
        <f t="shared" si="38"/>
        <v>0</v>
      </c>
      <c r="T163" s="29">
        <f t="shared" si="38"/>
        <v>0</v>
      </c>
      <c r="U163" s="29">
        <f t="shared" si="38"/>
        <v>0</v>
      </c>
      <c r="V163" s="29">
        <f t="shared" si="38"/>
        <v>0</v>
      </c>
      <c r="W163" s="29">
        <f t="shared" si="38"/>
        <v>0</v>
      </c>
      <c r="X163" s="29">
        <f t="shared" si="38"/>
        <v>0</v>
      </c>
      <c r="Y163" s="29">
        <f t="shared" si="38"/>
        <v>0</v>
      </c>
      <c r="Z163" s="29">
        <f t="shared" si="38"/>
        <v>0</v>
      </c>
      <c r="AA163" s="29">
        <f t="shared" si="38"/>
        <v>0</v>
      </c>
      <c r="AB163" s="29">
        <f t="shared" si="38"/>
        <v>0</v>
      </c>
      <c r="AC163" s="29">
        <f t="shared" si="38"/>
        <v>0</v>
      </c>
      <c r="AD163" s="29">
        <f t="shared" si="38"/>
        <v>0</v>
      </c>
      <c r="AE163" s="29">
        <f t="shared" si="38"/>
        <v>0</v>
      </c>
      <c r="AF163" s="29">
        <f t="shared" si="38"/>
        <v>0</v>
      </c>
      <c r="AG163" s="29">
        <f t="shared" si="38"/>
        <v>0</v>
      </c>
      <c r="AH163" s="29">
        <f t="shared" si="38"/>
        <v>0</v>
      </c>
      <c r="AI163" s="29">
        <f t="shared" si="38"/>
        <v>0</v>
      </c>
      <c r="AJ163" s="29">
        <f t="shared" si="38"/>
        <v>0</v>
      </c>
      <c r="AK163" s="29">
        <f t="shared" si="38"/>
        <v>0</v>
      </c>
      <c r="AL163" s="29">
        <f t="shared" si="38"/>
        <v>0</v>
      </c>
      <c r="AM163" s="29">
        <f t="shared" si="38"/>
        <v>0</v>
      </c>
      <c r="AN163" s="780"/>
    </row>
    <row r="164" spans="1:40" ht="12.75" customHeight="1">
      <c r="A164" s="773">
        <v>20</v>
      </c>
      <c r="B164" s="737" t="s">
        <v>141</v>
      </c>
      <c r="C164" s="804">
        <v>80101</v>
      </c>
      <c r="D164" s="783" t="s">
        <v>164</v>
      </c>
      <c r="E164" s="775">
        <v>2012</v>
      </c>
      <c r="F164" s="8" t="s">
        <v>14</v>
      </c>
      <c r="G164" s="32" t="s">
        <v>15</v>
      </c>
      <c r="H164" s="33"/>
      <c r="I164" s="118"/>
      <c r="J164" s="34"/>
      <c r="K164" s="34"/>
      <c r="L164" s="34"/>
      <c r="M164" s="34"/>
      <c r="N164" s="34"/>
      <c r="O164" s="34"/>
      <c r="P164" s="34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803">
        <f>SUM(J171:AM171)</f>
        <v>31000000</v>
      </c>
    </row>
    <row r="165" spans="1:40" ht="12.75">
      <c r="A165" s="774"/>
      <c r="B165" s="737"/>
      <c r="C165" s="782"/>
      <c r="D165" s="784"/>
      <c r="E165" s="776"/>
      <c r="F165" s="746">
        <f>SUM(H170:AM170)</f>
        <v>0</v>
      </c>
      <c r="G165" s="15" t="s">
        <v>16</v>
      </c>
      <c r="H165" s="16"/>
      <c r="I165" s="114"/>
      <c r="J165" s="18">
        <v>1000000</v>
      </c>
      <c r="K165" s="18">
        <v>10000000</v>
      </c>
      <c r="L165" s="18">
        <v>20000000</v>
      </c>
      <c r="M165" s="18"/>
      <c r="N165" s="18"/>
      <c r="O165" s="18"/>
      <c r="P165" s="18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779"/>
    </row>
    <row r="166" spans="1:40" ht="12.75">
      <c r="A166" s="774"/>
      <c r="B166" s="737"/>
      <c r="C166" s="782"/>
      <c r="D166" s="784"/>
      <c r="E166" s="776"/>
      <c r="F166" s="781"/>
      <c r="G166" s="15" t="s">
        <v>17</v>
      </c>
      <c r="H166" s="16"/>
      <c r="I166" s="114"/>
      <c r="J166" s="18"/>
      <c r="K166" s="18"/>
      <c r="L166" s="18"/>
      <c r="M166" s="18"/>
      <c r="N166" s="18"/>
      <c r="O166" s="18"/>
      <c r="P166" s="18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779"/>
    </row>
    <row r="167" spans="1:40" ht="12.75">
      <c r="A167" s="774"/>
      <c r="B167" s="737"/>
      <c r="C167" s="782"/>
      <c r="D167" s="784"/>
      <c r="E167" s="727"/>
      <c r="F167" s="21" t="s">
        <v>18</v>
      </c>
      <c r="G167" s="15" t="s">
        <v>19</v>
      </c>
      <c r="H167" s="16"/>
      <c r="I167" s="114"/>
      <c r="J167" s="18"/>
      <c r="K167" s="18"/>
      <c r="L167" s="18"/>
      <c r="M167" s="18"/>
      <c r="N167" s="18"/>
      <c r="O167" s="18"/>
      <c r="P167" s="18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779"/>
    </row>
    <row r="168" spans="1:40" ht="12.75">
      <c r="A168" s="774"/>
      <c r="B168" s="737"/>
      <c r="C168" s="782"/>
      <c r="D168" s="784"/>
      <c r="E168" s="723">
        <v>2013</v>
      </c>
      <c r="F168" s="746">
        <f>SUM(H171:AM171)</f>
        <v>31000000</v>
      </c>
      <c r="G168" s="15" t="s">
        <v>23</v>
      </c>
      <c r="H168" s="16"/>
      <c r="I168" s="114"/>
      <c r="J168" s="18"/>
      <c r="K168" s="18"/>
      <c r="L168" s="18"/>
      <c r="M168" s="18"/>
      <c r="N168" s="18"/>
      <c r="O168" s="18"/>
      <c r="P168" s="18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779"/>
    </row>
    <row r="169" spans="1:40" ht="12.75">
      <c r="A169" s="774"/>
      <c r="B169" s="737"/>
      <c r="C169" s="782"/>
      <c r="D169" s="784"/>
      <c r="E169" s="776"/>
      <c r="F169" s="781"/>
      <c r="G169" s="15" t="s">
        <v>24</v>
      </c>
      <c r="H169" s="16"/>
      <c r="I169" s="114"/>
      <c r="J169" s="18"/>
      <c r="K169" s="18"/>
      <c r="L169" s="18"/>
      <c r="M169" s="18"/>
      <c r="N169" s="18"/>
      <c r="O169" s="18"/>
      <c r="P169" s="18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779"/>
    </row>
    <row r="170" spans="1:40" ht="12.75">
      <c r="A170" s="774"/>
      <c r="B170" s="737"/>
      <c r="C170" s="782"/>
      <c r="D170" s="784"/>
      <c r="E170" s="776"/>
      <c r="F170" s="21" t="s">
        <v>22</v>
      </c>
      <c r="G170" s="15" t="s">
        <v>25</v>
      </c>
      <c r="H170" s="22">
        <f aca="true" t="shared" si="39" ref="H170:AM170">H164+H166+H168</f>
        <v>0</v>
      </c>
      <c r="I170" s="115">
        <f t="shared" si="39"/>
        <v>0</v>
      </c>
      <c r="J170" s="24">
        <f t="shared" si="39"/>
        <v>0</v>
      </c>
      <c r="K170" s="24">
        <f t="shared" si="39"/>
        <v>0</v>
      </c>
      <c r="L170" s="24">
        <f t="shared" si="39"/>
        <v>0</v>
      </c>
      <c r="M170" s="24">
        <f t="shared" si="39"/>
        <v>0</v>
      </c>
      <c r="N170" s="24">
        <f t="shared" si="39"/>
        <v>0</v>
      </c>
      <c r="O170" s="24">
        <f t="shared" si="39"/>
        <v>0</v>
      </c>
      <c r="P170" s="24">
        <f t="shared" si="39"/>
        <v>0</v>
      </c>
      <c r="Q170" s="24">
        <f t="shared" si="39"/>
        <v>0</v>
      </c>
      <c r="R170" s="24">
        <f t="shared" si="39"/>
        <v>0</v>
      </c>
      <c r="S170" s="24">
        <f t="shared" si="39"/>
        <v>0</v>
      </c>
      <c r="T170" s="24">
        <f t="shared" si="39"/>
        <v>0</v>
      </c>
      <c r="U170" s="24">
        <f t="shared" si="39"/>
        <v>0</v>
      </c>
      <c r="V170" s="24">
        <f t="shared" si="39"/>
        <v>0</v>
      </c>
      <c r="W170" s="24">
        <f t="shared" si="39"/>
        <v>0</v>
      </c>
      <c r="X170" s="24">
        <f t="shared" si="39"/>
        <v>0</v>
      </c>
      <c r="Y170" s="24">
        <f t="shared" si="39"/>
        <v>0</v>
      </c>
      <c r="Z170" s="24">
        <f t="shared" si="39"/>
        <v>0</v>
      </c>
      <c r="AA170" s="24">
        <f t="shared" si="39"/>
        <v>0</v>
      </c>
      <c r="AB170" s="24">
        <f t="shared" si="39"/>
        <v>0</v>
      </c>
      <c r="AC170" s="24">
        <f t="shared" si="39"/>
        <v>0</v>
      </c>
      <c r="AD170" s="24">
        <f t="shared" si="39"/>
        <v>0</v>
      </c>
      <c r="AE170" s="24">
        <f t="shared" si="39"/>
        <v>0</v>
      </c>
      <c r="AF170" s="24">
        <f t="shared" si="39"/>
        <v>0</v>
      </c>
      <c r="AG170" s="24">
        <f t="shared" si="39"/>
        <v>0</v>
      </c>
      <c r="AH170" s="24">
        <f t="shared" si="39"/>
        <v>0</v>
      </c>
      <c r="AI170" s="24">
        <f t="shared" si="39"/>
        <v>0</v>
      </c>
      <c r="AJ170" s="24">
        <f t="shared" si="39"/>
        <v>0</v>
      </c>
      <c r="AK170" s="24">
        <f t="shared" si="39"/>
        <v>0</v>
      </c>
      <c r="AL170" s="24">
        <f t="shared" si="39"/>
        <v>0</v>
      </c>
      <c r="AM170" s="24">
        <f t="shared" si="39"/>
        <v>0</v>
      </c>
      <c r="AN170" s="779"/>
    </row>
    <row r="171" spans="1:40" ht="13.5" thickBot="1">
      <c r="A171" s="806"/>
      <c r="B171" s="737"/>
      <c r="C171" s="805"/>
      <c r="D171" s="784"/>
      <c r="E171" s="777"/>
      <c r="F171" s="116">
        <f>F165+F168</f>
        <v>31000000</v>
      </c>
      <c r="G171" s="36" t="s">
        <v>26</v>
      </c>
      <c r="H171" s="37">
        <f aca="true" t="shared" si="40" ref="H171:AM171">H165+H167+H169</f>
        <v>0</v>
      </c>
      <c r="I171" s="119">
        <f t="shared" si="40"/>
        <v>0</v>
      </c>
      <c r="J171" s="29">
        <f t="shared" si="40"/>
        <v>1000000</v>
      </c>
      <c r="K171" s="29">
        <f t="shared" si="40"/>
        <v>10000000</v>
      </c>
      <c r="L171" s="29">
        <f t="shared" si="40"/>
        <v>20000000</v>
      </c>
      <c r="M171" s="29">
        <f t="shared" si="40"/>
        <v>0</v>
      </c>
      <c r="N171" s="29">
        <f t="shared" si="40"/>
        <v>0</v>
      </c>
      <c r="O171" s="29">
        <f t="shared" si="40"/>
        <v>0</v>
      </c>
      <c r="P171" s="29">
        <f t="shared" si="40"/>
        <v>0</v>
      </c>
      <c r="Q171" s="29">
        <f t="shared" si="40"/>
        <v>0</v>
      </c>
      <c r="R171" s="29">
        <f t="shared" si="40"/>
        <v>0</v>
      </c>
      <c r="S171" s="29">
        <f t="shared" si="40"/>
        <v>0</v>
      </c>
      <c r="T171" s="29">
        <f t="shared" si="40"/>
        <v>0</v>
      </c>
      <c r="U171" s="29">
        <f t="shared" si="40"/>
        <v>0</v>
      </c>
      <c r="V171" s="29">
        <f t="shared" si="40"/>
        <v>0</v>
      </c>
      <c r="W171" s="29">
        <f t="shared" si="40"/>
        <v>0</v>
      </c>
      <c r="X171" s="29">
        <f t="shared" si="40"/>
        <v>0</v>
      </c>
      <c r="Y171" s="29">
        <f t="shared" si="40"/>
        <v>0</v>
      </c>
      <c r="Z171" s="29">
        <f t="shared" si="40"/>
        <v>0</v>
      </c>
      <c r="AA171" s="29">
        <f t="shared" si="40"/>
        <v>0</v>
      </c>
      <c r="AB171" s="29">
        <f t="shared" si="40"/>
        <v>0</v>
      </c>
      <c r="AC171" s="29">
        <f t="shared" si="40"/>
        <v>0</v>
      </c>
      <c r="AD171" s="29">
        <f t="shared" si="40"/>
        <v>0</v>
      </c>
      <c r="AE171" s="29">
        <f t="shared" si="40"/>
        <v>0</v>
      </c>
      <c r="AF171" s="29">
        <f t="shared" si="40"/>
        <v>0</v>
      </c>
      <c r="AG171" s="29">
        <f t="shared" si="40"/>
        <v>0</v>
      </c>
      <c r="AH171" s="29">
        <f t="shared" si="40"/>
        <v>0</v>
      </c>
      <c r="AI171" s="29">
        <f t="shared" si="40"/>
        <v>0</v>
      </c>
      <c r="AJ171" s="29">
        <f t="shared" si="40"/>
        <v>0</v>
      </c>
      <c r="AK171" s="29">
        <f t="shared" si="40"/>
        <v>0</v>
      </c>
      <c r="AL171" s="29">
        <f t="shared" si="40"/>
        <v>0</v>
      </c>
      <c r="AM171" s="29">
        <f t="shared" si="40"/>
        <v>0</v>
      </c>
      <c r="AN171" s="780"/>
    </row>
    <row r="172" spans="1:40" ht="12.75" customHeight="1">
      <c r="A172" s="773">
        <v>21</v>
      </c>
      <c r="B172" s="752" t="s">
        <v>135</v>
      </c>
      <c r="C172" s="804">
        <v>20101</v>
      </c>
      <c r="D172" s="783" t="s">
        <v>164</v>
      </c>
      <c r="E172" s="775"/>
      <c r="F172" s="8" t="s">
        <v>14</v>
      </c>
      <c r="G172" s="32" t="s">
        <v>15</v>
      </c>
      <c r="H172" s="33"/>
      <c r="I172" s="118"/>
      <c r="J172" s="34"/>
      <c r="K172" s="34"/>
      <c r="L172" s="34"/>
      <c r="M172" s="34"/>
      <c r="N172" s="34"/>
      <c r="O172" s="34"/>
      <c r="P172" s="34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803">
        <f>SUM(J179:AM179)</f>
        <v>400000</v>
      </c>
    </row>
    <row r="173" spans="1:40" ht="12.75">
      <c r="A173" s="774"/>
      <c r="B173" s="737"/>
      <c r="C173" s="782"/>
      <c r="D173" s="784"/>
      <c r="E173" s="776"/>
      <c r="F173" s="746">
        <f>SUM(H178:AM178)</f>
        <v>0</v>
      </c>
      <c r="G173" s="15" t="s">
        <v>16</v>
      </c>
      <c r="H173" s="16"/>
      <c r="I173" s="114">
        <v>600000</v>
      </c>
      <c r="J173" s="18">
        <v>200000</v>
      </c>
      <c r="K173" s="18">
        <v>200000</v>
      </c>
      <c r="L173" s="18"/>
      <c r="M173" s="18"/>
      <c r="N173" s="18"/>
      <c r="O173" s="18"/>
      <c r="P173" s="18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779"/>
    </row>
    <row r="174" spans="1:40" ht="12.75">
      <c r="A174" s="774"/>
      <c r="B174" s="737"/>
      <c r="C174" s="782"/>
      <c r="D174" s="784"/>
      <c r="E174" s="776"/>
      <c r="F174" s="781"/>
      <c r="G174" s="15" t="s">
        <v>17</v>
      </c>
      <c r="H174" s="16"/>
      <c r="I174" s="114"/>
      <c r="J174" s="18"/>
      <c r="K174" s="18"/>
      <c r="L174" s="18"/>
      <c r="M174" s="18"/>
      <c r="N174" s="18"/>
      <c r="O174" s="18"/>
      <c r="P174" s="18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779"/>
    </row>
    <row r="175" spans="1:40" ht="12.75">
      <c r="A175" s="774"/>
      <c r="B175" s="737"/>
      <c r="C175" s="782"/>
      <c r="D175" s="784"/>
      <c r="E175" s="727"/>
      <c r="F175" s="21" t="s">
        <v>18</v>
      </c>
      <c r="G175" s="15" t="s">
        <v>19</v>
      </c>
      <c r="H175" s="16"/>
      <c r="I175" s="114"/>
      <c r="J175" s="18"/>
      <c r="K175" s="18"/>
      <c r="L175" s="18"/>
      <c r="M175" s="18"/>
      <c r="N175" s="18"/>
      <c r="O175" s="18"/>
      <c r="P175" s="18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779"/>
    </row>
    <row r="176" spans="1:40" ht="12.75">
      <c r="A176" s="774"/>
      <c r="B176" s="737"/>
      <c r="C176" s="782"/>
      <c r="D176" s="784"/>
      <c r="E176" s="723"/>
      <c r="F176" s="746">
        <f>SUM(H179:AM179)</f>
        <v>1000000</v>
      </c>
      <c r="G176" s="15" t="s">
        <v>23</v>
      </c>
      <c r="H176" s="16"/>
      <c r="I176" s="114"/>
      <c r="J176" s="18"/>
      <c r="K176" s="18"/>
      <c r="L176" s="18"/>
      <c r="M176" s="18"/>
      <c r="N176" s="18"/>
      <c r="O176" s="18"/>
      <c r="P176" s="18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779"/>
    </row>
    <row r="177" spans="1:40" ht="12.75">
      <c r="A177" s="774"/>
      <c r="B177" s="737"/>
      <c r="C177" s="782"/>
      <c r="D177" s="784"/>
      <c r="E177" s="776"/>
      <c r="F177" s="781"/>
      <c r="G177" s="15" t="s">
        <v>24</v>
      </c>
      <c r="H177" s="16"/>
      <c r="I177" s="114"/>
      <c r="J177" s="18"/>
      <c r="K177" s="18"/>
      <c r="L177" s="18"/>
      <c r="M177" s="18"/>
      <c r="N177" s="18"/>
      <c r="O177" s="18"/>
      <c r="P177" s="18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779"/>
    </row>
    <row r="178" spans="1:40" ht="12.75">
      <c r="A178" s="774"/>
      <c r="B178" s="737"/>
      <c r="C178" s="782"/>
      <c r="D178" s="784"/>
      <c r="E178" s="776"/>
      <c r="F178" s="21" t="s">
        <v>22</v>
      </c>
      <c r="G178" s="15" t="s">
        <v>25</v>
      </c>
      <c r="H178" s="22">
        <f aca="true" t="shared" si="41" ref="H178:AM178">H172+H174+H176</f>
        <v>0</v>
      </c>
      <c r="I178" s="115">
        <f t="shared" si="41"/>
        <v>0</v>
      </c>
      <c r="J178" s="24">
        <f t="shared" si="41"/>
        <v>0</v>
      </c>
      <c r="K178" s="24">
        <f t="shared" si="41"/>
        <v>0</v>
      </c>
      <c r="L178" s="24">
        <f t="shared" si="41"/>
        <v>0</v>
      </c>
      <c r="M178" s="24">
        <f t="shared" si="41"/>
        <v>0</v>
      </c>
      <c r="N178" s="24">
        <f t="shared" si="41"/>
        <v>0</v>
      </c>
      <c r="O178" s="24">
        <f t="shared" si="41"/>
        <v>0</v>
      </c>
      <c r="P178" s="24">
        <f t="shared" si="41"/>
        <v>0</v>
      </c>
      <c r="Q178" s="24">
        <f t="shared" si="41"/>
        <v>0</v>
      </c>
      <c r="R178" s="24">
        <f t="shared" si="41"/>
        <v>0</v>
      </c>
      <c r="S178" s="24">
        <f t="shared" si="41"/>
        <v>0</v>
      </c>
      <c r="T178" s="24">
        <f t="shared" si="41"/>
        <v>0</v>
      </c>
      <c r="U178" s="24">
        <f t="shared" si="41"/>
        <v>0</v>
      </c>
      <c r="V178" s="24">
        <f t="shared" si="41"/>
        <v>0</v>
      </c>
      <c r="W178" s="24">
        <f t="shared" si="41"/>
        <v>0</v>
      </c>
      <c r="X178" s="24">
        <f t="shared" si="41"/>
        <v>0</v>
      </c>
      <c r="Y178" s="24">
        <f t="shared" si="41"/>
        <v>0</v>
      </c>
      <c r="Z178" s="24">
        <f t="shared" si="41"/>
        <v>0</v>
      </c>
      <c r="AA178" s="24">
        <f t="shared" si="41"/>
        <v>0</v>
      </c>
      <c r="AB178" s="24">
        <f t="shared" si="41"/>
        <v>0</v>
      </c>
      <c r="AC178" s="24">
        <f t="shared" si="41"/>
        <v>0</v>
      </c>
      <c r="AD178" s="24">
        <f t="shared" si="41"/>
        <v>0</v>
      </c>
      <c r="AE178" s="24">
        <f t="shared" si="41"/>
        <v>0</v>
      </c>
      <c r="AF178" s="24">
        <f t="shared" si="41"/>
        <v>0</v>
      </c>
      <c r="AG178" s="24">
        <f t="shared" si="41"/>
        <v>0</v>
      </c>
      <c r="AH178" s="24">
        <f t="shared" si="41"/>
        <v>0</v>
      </c>
      <c r="AI178" s="24">
        <f t="shared" si="41"/>
        <v>0</v>
      </c>
      <c r="AJ178" s="24">
        <f t="shared" si="41"/>
        <v>0</v>
      </c>
      <c r="AK178" s="24">
        <f t="shared" si="41"/>
        <v>0</v>
      </c>
      <c r="AL178" s="24">
        <f t="shared" si="41"/>
        <v>0</v>
      </c>
      <c r="AM178" s="24">
        <f t="shared" si="41"/>
        <v>0</v>
      </c>
      <c r="AN178" s="779"/>
    </row>
    <row r="179" spans="1:40" ht="13.5" thickBot="1">
      <c r="A179" s="774"/>
      <c r="B179" s="738"/>
      <c r="C179" s="805"/>
      <c r="D179" s="784"/>
      <c r="E179" s="777"/>
      <c r="F179" s="116">
        <f>F173+F176</f>
        <v>1000000</v>
      </c>
      <c r="G179" s="36" t="s">
        <v>26</v>
      </c>
      <c r="H179" s="37">
        <f aca="true" t="shared" si="42" ref="H179:AM179">H173+H175+H177</f>
        <v>0</v>
      </c>
      <c r="I179" s="119">
        <f t="shared" si="42"/>
        <v>600000</v>
      </c>
      <c r="J179" s="29">
        <f t="shared" si="42"/>
        <v>200000</v>
      </c>
      <c r="K179" s="29">
        <f t="shared" si="42"/>
        <v>200000</v>
      </c>
      <c r="L179" s="29">
        <f t="shared" si="42"/>
        <v>0</v>
      </c>
      <c r="M179" s="29">
        <f t="shared" si="42"/>
        <v>0</v>
      </c>
      <c r="N179" s="29">
        <f t="shared" si="42"/>
        <v>0</v>
      </c>
      <c r="O179" s="29">
        <f t="shared" si="42"/>
        <v>0</v>
      </c>
      <c r="P179" s="29">
        <f t="shared" si="42"/>
        <v>0</v>
      </c>
      <c r="Q179" s="29">
        <f t="shared" si="42"/>
        <v>0</v>
      </c>
      <c r="R179" s="29">
        <f t="shared" si="42"/>
        <v>0</v>
      </c>
      <c r="S179" s="29">
        <f t="shared" si="42"/>
        <v>0</v>
      </c>
      <c r="T179" s="29">
        <f t="shared" si="42"/>
        <v>0</v>
      </c>
      <c r="U179" s="29">
        <f t="shared" si="42"/>
        <v>0</v>
      </c>
      <c r="V179" s="29">
        <f t="shared" si="42"/>
        <v>0</v>
      </c>
      <c r="W179" s="29">
        <f t="shared" si="42"/>
        <v>0</v>
      </c>
      <c r="X179" s="29">
        <f t="shared" si="42"/>
        <v>0</v>
      </c>
      <c r="Y179" s="29">
        <f t="shared" si="42"/>
        <v>0</v>
      </c>
      <c r="Z179" s="29">
        <f t="shared" si="42"/>
        <v>0</v>
      </c>
      <c r="AA179" s="29">
        <f t="shared" si="42"/>
        <v>0</v>
      </c>
      <c r="AB179" s="29">
        <f t="shared" si="42"/>
        <v>0</v>
      </c>
      <c r="AC179" s="29">
        <f t="shared" si="42"/>
        <v>0</v>
      </c>
      <c r="AD179" s="29">
        <f t="shared" si="42"/>
        <v>0</v>
      </c>
      <c r="AE179" s="29">
        <f t="shared" si="42"/>
        <v>0</v>
      </c>
      <c r="AF179" s="29">
        <f t="shared" si="42"/>
        <v>0</v>
      </c>
      <c r="AG179" s="29">
        <f t="shared" si="42"/>
        <v>0</v>
      </c>
      <c r="AH179" s="29">
        <f t="shared" si="42"/>
        <v>0</v>
      </c>
      <c r="AI179" s="29">
        <f t="shared" si="42"/>
        <v>0</v>
      </c>
      <c r="AJ179" s="29">
        <f t="shared" si="42"/>
        <v>0</v>
      </c>
      <c r="AK179" s="29">
        <f t="shared" si="42"/>
        <v>0</v>
      </c>
      <c r="AL179" s="29">
        <f t="shared" si="42"/>
        <v>0</v>
      </c>
      <c r="AM179" s="29">
        <f t="shared" si="42"/>
        <v>0</v>
      </c>
      <c r="AN179" s="780"/>
    </row>
    <row r="180" spans="1:40" ht="12.75" customHeight="1">
      <c r="A180" s="773">
        <v>22</v>
      </c>
      <c r="B180" s="737" t="s">
        <v>142</v>
      </c>
      <c r="C180" s="782">
        <v>80104</v>
      </c>
      <c r="D180" s="783" t="s">
        <v>164</v>
      </c>
      <c r="E180" s="776">
        <v>2012</v>
      </c>
      <c r="F180" s="8" t="s">
        <v>14</v>
      </c>
      <c r="G180" s="9" t="s">
        <v>15</v>
      </c>
      <c r="H180" s="33"/>
      <c r="I180" s="113"/>
      <c r="J180" s="12"/>
      <c r="K180" s="12"/>
      <c r="L180" s="12"/>
      <c r="M180" s="12"/>
      <c r="N180" s="12"/>
      <c r="O180" s="12"/>
      <c r="P180" s="12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803">
        <f>SUM(J187:AM187)</f>
        <v>8000000</v>
      </c>
    </row>
    <row r="181" spans="1:40" ht="12.75">
      <c r="A181" s="774"/>
      <c r="B181" s="737"/>
      <c r="C181" s="782"/>
      <c r="D181" s="784"/>
      <c r="E181" s="776"/>
      <c r="F181" s="746">
        <f>SUM(H186:AM186)</f>
        <v>0</v>
      </c>
      <c r="G181" s="15" t="s">
        <v>16</v>
      </c>
      <c r="H181" s="16"/>
      <c r="I181" s="114"/>
      <c r="J181" s="18">
        <v>1000000</v>
      </c>
      <c r="K181" s="18">
        <v>7000000</v>
      </c>
      <c r="L181" s="18"/>
      <c r="M181" s="18"/>
      <c r="N181" s="18"/>
      <c r="O181" s="18"/>
      <c r="P181" s="18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779"/>
    </row>
    <row r="182" spans="1:40" ht="12.75">
      <c r="A182" s="774"/>
      <c r="B182" s="737"/>
      <c r="C182" s="782"/>
      <c r="D182" s="784"/>
      <c r="E182" s="776"/>
      <c r="F182" s="781"/>
      <c r="G182" s="15" t="s">
        <v>17</v>
      </c>
      <c r="H182" s="16"/>
      <c r="I182" s="114"/>
      <c r="J182" s="18"/>
      <c r="K182" s="18"/>
      <c r="L182" s="18"/>
      <c r="M182" s="18"/>
      <c r="N182" s="18"/>
      <c r="O182" s="18"/>
      <c r="P182" s="18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779"/>
    </row>
    <row r="183" spans="1:40" ht="12.75">
      <c r="A183" s="774"/>
      <c r="B183" s="737"/>
      <c r="C183" s="782"/>
      <c r="D183" s="784"/>
      <c r="E183" s="727"/>
      <c r="F183" s="21" t="s">
        <v>18</v>
      </c>
      <c r="G183" s="15" t="s">
        <v>19</v>
      </c>
      <c r="H183" s="16"/>
      <c r="I183" s="114"/>
      <c r="J183" s="18"/>
      <c r="K183" s="18"/>
      <c r="L183" s="18"/>
      <c r="M183" s="18"/>
      <c r="N183" s="18"/>
      <c r="O183" s="18"/>
      <c r="P183" s="18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779"/>
    </row>
    <row r="184" spans="1:40" ht="12.75">
      <c r="A184" s="774"/>
      <c r="B184" s="737"/>
      <c r="C184" s="782"/>
      <c r="D184" s="784"/>
      <c r="E184" s="723">
        <v>2013</v>
      </c>
      <c r="F184" s="746">
        <f>SUM(H187:AM187)</f>
        <v>8000000</v>
      </c>
      <c r="G184" s="15" t="s">
        <v>23</v>
      </c>
      <c r="H184" s="16"/>
      <c r="I184" s="114"/>
      <c r="J184" s="18"/>
      <c r="K184" s="18"/>
      <c r="L184" s="18"/>
      <c r="M184" s="18"/>
      <c r="N184" s="18"/>
      <c r="O184" s="18"/>
      <c r="P184" s="18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779"/>
    </row>
    <row r="185" spans="1:40" ht="12.75">
      <c r="A185" s="774"/>
      <c r="B185" s="737"/>
      <c r="C185" s="782"/>
      <c r="D185" s="784"/>
      <c r="E185" s="776"/>
      <c r="F185" s="781"/>
      <c r="G185" s="15" t="s">
        <v>24</v>
      </c>
      <c r="H185" s="16"/>
      <c r="I185" s="114"/>
      <c r="J185" s="18"/>
      <c r="K185" s="18"/>
      <c r="L185" s="18"/>
      <c r="M185" s="18"/>
      <c r="N185" s="18"/>
      <c r="O185" s="18"/>
      <c r="P185" s="18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779"/>
    </row>
    <row r="186" spans="1:40" ht="12.75">
      <c r="A186" s="774"/>
      <c r="B186" s="737"/>
      <c r="C186" s="782"/>
      <c r="D186" s="784"/>
      <c r="E186" s="776"/>
      <c r="F186" s="21" t="s">
        <v>22</v>
      </c>
      <c r="G186" s="15" t="s">
        <v>25</v>
      </c>
      <c r="H186" s="22">
        <f aca="true" t="shared" si="43" ref="H186:AM186">H180+H182+H184</f>
        <v>0</v>
      </c>
      <c r="I186" s="115">
        <f t="shared" si="43"/>
        <v>0</v>
      </c>
      <c r="J186" s="24">
        <f t="shared" si="43"/>
        <v>0</v>
      </c>
      <c r="K186" s="24">
        <f t="shared" si="43"/>
        <v>0</v>
      </c>
      <c r="L186" s="24">
        <f t="shared" si="43"/>
        <v>0</v>
      </c>
      <c r="M186" s="24">
        <f t="shared" si="43"/>
        <v>0</v>
      </c>
      <c r="N186" s="24">
        <f t="shared" si="43"/>
        <v>0</v>
      </c>
      <c r="O186" s="24">
        <f t="shared" si="43"/>
        <v>0</v>
      </c>
      <c r="P186" s="24">
        <f t="shared" si="43"/>
        <v>0</v>
      </c>
      <c r="Q186" s="24">
        <f t="shared" si="43"/>
        <v>0</v>
      </c>
      <c r="R186" s="24">
        <f t="shared" si="43"/>
        <v>0</v>
      </c>
      <c r="S186" s="24">
        <f t="shared" si="43"/>
        <v>0</v>
      </c>
      <c r="T186" s="24">
        <f t="shared" si="43"/>
        <v>0</v>
      </c>
      <c r="U186" s="24">
        <f t="shared" si="43"/>
        <v>0</v>
      </c>
      <c r="V186" s="24">
        <f t="shared" si="43"/>
        <v>0</v>
      </c>
      <c r="W186" s="24">
        <f t="shared" si="43"/>
        <v>0</v>
      </c>
      <c r="X186" s="24">
        <f t="shared" si="43"/>
        <v>0</v>
      </c>
      <c r="Y186" s="24">
        <f t="shared" si="43"/>
        <v>0</v>
      </c>
      <c r="Z186" s="24">
        <f t="shared" si="43"/>
        <v>0</v>
      </c>
      <c r="AA186" s="24">
        <f t="shared" si="43"/>
        <v>0</v>
      </c>
      <c r="AB186" s="24">
        <f t="shared" si="43"/>
        <v>0</v>
      </c>
      <c r="AC186" s="24">
        <f t="shared" si="43"/>
        <v>0</v>
      </c>
      <c r="AD186" s="24">
        <f t="shared" si="43"/>
        <v>0</v>
      </c>
      <c r="AE186" s="24">
        <f t="shared" si="43"/>
        <v>0</v>
      </c>
      <c r="AF186" s="24">
        <f t="shared" si="43"/>
        <v>0</v>
      </c>
      <c r="AG186" s="24">
        <f t="shared" si="43"/>
        <v>0</v>
      </c>
      <c r="AH186" s="24">
        <f t="shared" si="43"/>
        <v>0</v>
      </c>
      <c r="AI186" s="24">
        <f t="shared" si="43"/>
        <v>0</v>
      </c>
      <c r="AJ186" s="24">
        <f t="shared" si="43"/>
        <v>0</v>
      </c>
      <c r="AK186" s="24">
        <f t="shared" si="43"/>
        <v>0</v>
      </c>
      <c r="AL186" s="24">
        <f t="shared" si="43"/>
        <v>0</v>
      </c>
      <c r="AM186" s="24">
        <f t="shared" si="43"/>
        <v>0</v>
      </c>
      <c r="AN186" s="779"/>
    </row>
    <row r="187" spans="1:40" ht="13.5" thickBot="1">
      <c r="A187" s="774"/>
      <c r="B187" s="737"/>
      <c r="C187" s="782"/>
      <c r="D187" s="784"/>
      <c r="E187" s="776"/>
      <c r="F187" s="116">
        <f>F181+F184</f>
        <v>8000000</v>
      </c>
      <c r="G187" s="26" t="s">
        <v>26</v>
      </c>
      <c r="H187" s="37">
        <f aca="true" t="shared" si="44" ref="H187:AM187">H181+H183+H185</f>
        <v>0</v>
      </c>
      <c r="I187" s="117">
        <f t="shared" si="44"/>
        <v>0</v>
      </c>
      <c r="J187" s="30">
        <f t="shared" si="44"/>
        <v>1000000</v>
      </c>
      <c r="K187" s="30">
        <f t="shared" si="44"/>
        <v>7000000</v>
      </c>
      <c r="L187" s="30">
        <f t="shared" si="44"/>
        <v>0</v>
      </c>
      <c r="M187" s="30">
        <f t="shared" si="44"/>
        <v>0</v>
      </c>
      <c r="N187" s="30">
        <f t="shared" si="44"/>
        <v>0</v>
      </c>
      <c r="O187" s="30">
        <f t="shared" si="44"/>
        <v>0</v>
      </c>
      <c r="P187" s="30">
        <f t="shared" si="44"/>
        <v>0</v>
      </c>
      <c r="Q187" s="30">
        <f t="shared" si="44"/>
        <v>0</v>
      </c>
      <c r="R187" s="30">
        <f t="shared" si="44"/>
        <v>0</v>
      </c>
      <c r="S187" s="30">
        <f t="shared" si="44"/>
        <v>0</v>
      </c>
      <c r="T187" s="30">
        <f t="shared" si="44"/>
        <v>0</v>
      </c>
      <c r="U187" s="30">
        <f t="shared" si="44"/>
        <v>0</v>
      </c>
      <c r="V187" s="30">
        <f t="shared" si="44"/>
        <v>0</v>
      </c>
      <c r="W187" s="30">
        <f t="shared" si="44"/>
        <v>0</v>
      </c>
      <c r="X187" s="30">
        <f t="shared" si="44"/>
        <v>0</v>
      </c>
      <c r="Y187" s="30">
        <f t="shared" si="44"/>
        <v>0</v>
      </c>
      <c r="Z187" s="30">
        <f t="shared" si="44"/>
        <v>0</v>
      </c>
      <c r="AA187" s="30">
        <f t="shared" si="44"/>
        <v>0</v>
      </c>
      <c r="AB187" s="30">
        <f t="shared" si="44"/>
        <v>0</v>
      </c>
      <c r="AC187" s="30">
        <f t="shared" si="44"/>
        <v>0</v>
      </c>
      <c r="AD187" s="30">
        <f t="shared" si="44"/>
        <v>0</v>
      </c>
      <c r="AE187" s="30">
        <f t="shared" si="44"/>
        <v>0</v>
      </c>
      <c r="AF187" s="30">
        <f t="shared" si="44"/>
        <v>0</v>
      </c>
      <c r="AG187" s="30">
        <f t="shared" si="44"/>
        <v>0</v>
      </c>
      <c r="AH187" s="30">
        <f t="shared" si="44"/>
        <v>0</v>
      </c>
      <c r="AI187" s="30">
        <f t="shared" si="44"/>
        <v>0</v>
      </c>
      <c r="AJ187" s="30">
        <f t="shared" si="44"/>
        <v>0</v>
      </c>
      <c r="AK187" s="30">
        <f t="shared" si="44"/>
        <v>0</v>
      </c>
      <c r="AL187" s="30">
        <f t="shared" si="44"/>
        <v>0</v>
      </c>
      <c r="AM187" s="30">
        <f t="shared" si="44"/>
        <v>0</v>
      </c>
      <c r="AN187" s="780"/>
    </row>
    <row r="188" spans="1:40" ht="12.75" customHeight="1">
      <c r="A188" s="773">
        <v>23</v>
      </c>
      <c r="B188" s="752" t="s">
        <v>143</v>
      </c>
      <c r="C188" s="804">
        <v>80120</v>
      </c>
      <c r="D188" s="783" t="s">
        <v>164</v>
      </c>
      <c r="E188" s="775">
        <v>2011</v>
      </c>
      <c r="F188" s="8" t="s">
        <v>14</v>
      </c>
      <c r="G188" s="32" t="s">
        <v>15</v>
      </c>
      <c r="H188" s="33"/>
      <c r="I188" s="118"/>
      <c r="J188" s="34"/>
      <c r="K188" s="34"/>
      <c r="L188" s="34"/>
      <c r="M188" s="34"/>
      <c r="N188" s="34"/>
      <c r="O188" s="34"/>
      <c r="P188" s="34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803">
        <f>SUM(J195:AM195)</f>
        <v>10000000</v>
      </c>
    </row>
    <row r="189" spans="1:40" ht="12.75">
      <c r="A189" s="774"/>
      <c r="B189" s="737"/>
      <c r="C189" s="782"/>
      <c r="D189" s="784"/>
      <c r="E189" s="776"/>
      <c r="F189" s="746">
        <f>SUM(H194:AM194)</f>
        <v>0</v>
      </c>
      <c r="G189" s="15" t="s">
        <v>16</v>
      </c>
      <c r="H189" s="16"/>
      <c r="I189" s="114">
        <v>2000000</v>
      </c>
      <c r="J189" s="18"/>
      <c r="K189" s="18">
        <v>8000000</v>
      </c>
      <c r="L189" s="18">
        <v>2000000</v>
      </c>
      <c r="M189" s="18"/>
      <c r="N189" s="18"/>
      <c r="O189" s="18"/>
      <c r="P189" s="18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779"/>
    </row>
    <row r="190" spans="1:40" ht="12.75">
      <c r="A190" s="774"/>
      <c r="B190" s="737"/>
      <c r="C190" s="782"/>
      <c r="D190" s="784"/>
      <c r="E190" s="776"/>
      <c r="F190" s="781"/>
      <c r="G190" s="15" t="s">
        <v>17</v>
      </c>
      <c r="H190" s="16"/>
      <c r="I190" s="114"/>
      <c r="J190" s="18"/>
      <c r="K190" s="18"/>
      <c r="L190" s="18"/>
      <c r="M190" s="18"/>
      <c r="N190" s="18"/>
      <c r="O190" s="18"/>
      <c r="P190" s="18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779"/>
    </row>
    <row r="191" spans="1:40" ht="12.75">
      <c r="A191" s="774"/>
      <c r="B191" s="737"/>
      <c r="C191" s="782"/>
      <c r="D191" s="784"/>
      <c r="E191" s="727"/>
      <c r="F191" s="21" t="s">
        <v>18</v>
      </c>
      <c r="G191" s="15" t="s">
        <v>19</v>
      </c>
      <c r="H191" s="16"/>
      <c r="I191" s="114"/>
      <c r="J191" s="18"/>
      <c r="K191" s="18"/>
      <c r="L191" s="18"/>
      <c r="M191" s="18"/>
      <c r="N191" s="18"/>
      <c r="O191" s="18"/>
      <c r="P191" s="18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779"/>
    </row>
    <row r="192" spans="1:40" ht="12.75">
      <c r="A192" s="774"/>
      <c r="B192" s="737"/>
      <c r="C192" s="782"/>
      <c r="D192" s="784"/>
      <c r="E192" s="723">
        <v>2014</v>
      </c>
      <c r="F192" s="746">
        <f>SUM(H195:AM195)</f>
        <v>12000000</v>
      </c>
      <c r="G192" s="15" t="s">
        <v>23</v>
      </c>
      <c r="H192" s="16"/>
      <c r="I192" s="114"/>
      <c r="J192" s="18"/>
      <c r="K192" s="18"/>
      <c r="L192" s="18"/>
      <c r="M192" s="18"/>
      <c r="N192" s="18"/>
      <c r="O192" s="18"/>
      <c r="P192" s="18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779"/>
    </row>
    <row r="193" spans="1:40" ht="12.75">
      <c r="A193" s="774"/>
      <c r="B193" s="737"/>
      <c r="C193" s="782"/>
      <c r="D193" s="784"/>
      <c r="E193" s="776"/>
      <c r="F193" s="781"/>
      <c r="G193" s="15" t="s">
        <v>24</v>
      </c>
      <c r="H193" s="16"/>
      <c r="I193" s="114"/>
      <c r="J193" s="18"/>
      <c r="K193" s="18"/>
      <c r="L193" s="18"/>
      <c r="M193" s="18"/>
      <c r="N193" s="18"/>
      <c r="O193" s="18"/>
      <c r="P193" s="18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779"/>
    </row>
    <row r="194" spans="1:40" ht="12.75">
      <c r="A194" s="774"/>
      <c r="B194" s="737"/>
      <c r="C194" s="782"/>
      <c r="D194" s="784"/>
      <c r="E194" s="776"/>
      <c r="F194" s="21" t="s">
        <v>22</v>
      </c>
      <c r="G194" s="15" t="s">
        <v>25</v>
      </c>
      <c r="H194" s="22">
        <f aca="true" t="shared" si="45" ref="H194:AM194">H188+H190+H192</f>
        <v>0</v>
      </c>
      <c r="I194" s="115">
        <f t="shared" si="45"/>
        <v>0</v>
      </c>
      <c r="J194" s="24">
        <f t="shared" si="45"/>
        <v>0</v>
      </c>
      <c r="K194" s="24">
        <f t="shared" si="45"/>
        <v>0</v>
      </c>
      <c r="L194" s="24">
        <f t="shared" si="45"/>
        <v>0</v>
      </c>
      <c r="M194" s="24">
        <f t="shared" si="45"/>
        <v>0</v>
      </c>
      <c r="N194" s="24">
        <f t="shared" si="45"/>
        <v>0</v>
      </c>
      <c r="O194" s="24">
        <f t="shared" si="45"/>
        <v>0</v>
      </c>
      <c r="P194" s="24">
        <f t="shared" si="45"/>
        <v>0</v>
      </c>
      <c r="Q194" s="24">
        <f t="shared" si="45"/>
        <v>0</v>
      </c>
      <c r="R194" s="24">
        <f t="shared" si="45"/>
        <v>0</v>
      </c>
      <c r="S194" s="24">
        <f t="shared" si="45"/>
        <v>0</v>
      </c>
      <c r="T194" s="24">
        <f t="shared" si="45"/>
        <v>0</v>
      </c>
      <c r="U194" s="24">
        <f t="shared" si="45"/>
        <v>0</v>
      </c>
      <c r="V194" s="24">
        <f t="shared" si="45"/>
        <v>0</v>
      </c>
      <c r="W194" s="24">
        <f t="shared" si="45"/>
        <v>0</v>
      </c>
      <c r="X194" s="24">
        <f t="shared" si="45"/>
        <v>0</v>
      </c>
      <c r="Y194" s="24">
        <f t="shared" si="45"/>
        <v>0</v>
      </c>
      <c r="Z194" s="24">
        <f t="shared" si="45"/>
        <v>0</v>
      </c>
      <c r="AA194" s="24">
        <f t="shared" si="45"/>
        <v>0</v>
      </c>
      <c r="AB194" s="24">
        <f t="shared" si="45"/>
        <v>0</v>
      </c>
      <c r="AC194" s="24">
        <f t="shared" si="45"/>
        <v>0</v>
      </c>
      <c r="AD194" s="24">
        <f t="shared" si="45"/>
        <v>0</v>
      </c>
      <c r="AE194" s="24">
        <f t="shared" si="45"/>
        <v>0</v>
      </c>
      <c r="AF194" s="24">
        <f t="shared" si="45"/>
        <v>0</v>
      </c>
      <c r="AG194" s="24">
        <f t="shared" si="45"/>
        <v>0</v>
      </c>
      <c r="AH194" s="24">
        <f t="shared" si="45"/>
        <v>0</v>
      </c>
      <c r="AI194" s="24">
        <f t="shared" si="45"/>
        <v>0</v>
      </c>
      <c r="AJ194" s="24">
        <f t="shared" si="45"/>
        <v>0</v>
      </c>
      <c r="AK194" s="24">
        <f t="shared" si="45"/>
        <v>0</v>
      </c>
      <c r="AL194" s="24">
        <f t="shared" si="45"/>
        <v>0</v>
      </c>
      <c r="AM194" s="24">
        <f t="shared" si="45"/>
        <v>0</v>
      </c>
      <c r="AN194" s="779"/>
    </row>
    <row r="195" spans="1:40" ht="13.5" thickBot="1">
      <c r="A195" s="774"/>
      <c r="B195" s="738"/>
      <c r="C195" s="805"/>
      <c r="D195" s="784"/>
      <c r="E195" s="777"/>
      <c r="F195" s="116">
        <f>F189+F192</f>
        <v>12000000</v>
      </c>
      <c r="G195" s="36" t="s">
        <v>26</v>
      </c>
      <c r="H195" s="37">
        <f aca="true" t="shared" si="46" ref="H195:AM195">H189+H191+H193</f>
        <v>0</v>
      </c>
      <c r="I195" s="119">
        <f t="shared" si="46"/>
        <v>2000000</v>
      </c>
      <c r="J195" s="29">
        <f t="shared" si="46"/>
        <v>0</v>
      </c>
      <c r="K195" s="29">
        <f t="shared" si="46"/>
        <v>8000000</v>
      </c>
      <c r="L195" s="29">
        <f t="shared" si="46"/>
        <v>2000000</v>
      </c>
      <c r="M195" s="29">
        <f t="shared" si="46"/>
        <v>0</v>
      </c>
      <c r="N195" s="29">
        <f t="shared" si="46"/>
        <v>0</v>
      </c>
      <c r="O195" s="29">
        <f t="shared" si="46"/>
        <v>0</v>
      </c>
      <c r="P195" s="29">
        <f t="shared" si="46"/>
        <v>0</v>
      </c>
      <c r="Q195" s="29">
        <f t="shared" si="46"/>
        <v>0</v>
      </c>
      <c r="R195" s="29">
        <f t="shared" si="46"/>
        <v>0</v>
      </c>
      <c r="S195" s="29">
        <f t="shared" si="46"/>
        <v>0</v>
      </c>
      <c r="T195" s="29">
        <f t="shared" si="46"/>
        <v>0</v>
      </c>
      <c r="U195" s="29">
        <f t="shared" si="46"/>
        <v>0</v>
      </c>
      <c r="V195" s="29">
        <f t="shared" si="46"/>
        <v>0</v>
      </c>
      <c r="W195" s="29">
        <f t="shared" si="46"/>
        <v>0</v>
      </c>
      <c r="X195" s="29">
        <f t="shared" si="46"/>
        <v>0</v>
      </c>
      <c r="Y195" s="29">
        <f t="shared" si="46"/>
        <v>0</v>
      </c>
      <c r="Z195" s="29">
        <f t="shared" si="46"/>
        <v>0</v>
      </c>
      <c r="AA195" s="29">
        <f t="shared" si="46"/>
        <v>0</v>
      </c>
      <c r="AB195" s="29">
        <f t="shared" si="46"/>
        <v>0</v>
      </c>
      <c r="AC195" s="29">
        <f t="shared" si="46"/>
        <v>0</v>
      </c>
      <c r="AD195" s="29">
        <f t="shared" si="46"/>
        <v>0</v>
      </c>
      <c r="AE195" s="29">
        <f t="shared" si="46"/>
        <v>0</v>
      </c>
      <c r="AF195" s="29">
        <f t="shared" si="46"/>
        <v>0</v>
      </c>
      <c r="AG195" s="29">
        <f t="shared" si="46"/>
        <v>0</v>
      </c>
      <c r="AH195" s="29">
        <f t="shared" si="46"/>
        <v>0</v>
      </c>
      <c r="AI195" s="29">
        <f t="shared" si="46"/>
        <v>0</v>
      </c>
      <c r="AJ195" s="29">
        <f t="shared" si="46"/>
        <v>0</v>
      </c>
      <c r="AK195" s="29">
        <f t="shared" si="46"/>
        <v>0</v>
      </c>
      <c r="AL195" s="29">
        <f t="shared" si="46"/>
        <v>0</v>
      </c>
      <c r="AM195" s="29">
        <f t="shared" si="46"/>
        <v>0</v>
      </c>
      <c r="AN195" s="780"/>
    </row>
    <row r="196" spans="1:40" ht="12.75" customHeight="1">
      <c r="A196" s="773">
        <v>24</v>
      </c>
      <c r="B196" s="752" t="s">
        <v>135</v>
      </c>
      <c r="C196" s="804">
        <v>80120</v>
      </c>
      <c r="D196" s="783" t="s">
        <v>164</v>
      </c>
      <c r="E196" s="775"/>
      <c r="F196" s="8" t="s">
        <v>14</v>
      </c>
      <c r="G196" s="32" t="s">
        <v>15</v>
      </c>
      <c r="H196" s="33"/>
      <c r="I196" s="118"/>
      <c r="J196" s="34"/>
      <c r="K196" s="34"/>
      <c r="L196" s="34"/>
      <c r="M196" s="34"/>
      <c r="N196" s="34"/>
      <c r="O196" s="34"/>
      <c r="P196" s="34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803">
        <f>SUM(J203:AM203)</f>
        <v>100000</v>
      </c>
    </row>
    <row r="197" spans="1:40" ht="12.75">
      <c r="A197" s="774"/>
      <c r="B197" s="737"/>
      <c r="C197" s="782"/>
      <c r="D197" s="784"/>
      <c r="E197" s="776"/>
      <c r="F197" s="746">
        <f>SUM(H202:AM202)</f>
        <v>0</v>
      </c>
      <c r="G197" s="15" t="s">
        <v>16</v>
      </c>
      <c r="H197" s="16"/>
      <c r="I197" s="114">
        <v>100000</v>
      </c>
      <c r="J197" s="18">
        <v>100000</v>
      </c>
      <c r="K197" s="18"/>
      <c r="L197" s="18"/>
      <c r="M197" s="18"/>
      <c r="N197" s="18"/>
      <c r="O197" s="18"/>
      <c r="P197" s="18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779"/>
    </row>
    <row r="198" spans="1:40" ht="12.75">
      <c r="A198" s="774"/>
      <c r="B198" s="737"/>
      <c r="C198" s="782"/>
      <c r="D198" s="784"/>
      <c r="E198" s="776"/>
      <c r="F198" s="781"/>
      <c r="G198" s="15" t="s">
        <v>17</v>
      </c>
      <c r="H198" s="16"/>
      <c r="I198" s="114"/>
      <c r="J198" s="18"/>
      <c r="K198" s="18"/>
      <c r="L198" s="18"/>
      <c r="M198" s="18"/>
      <c r="N198" s="18"/>
      <c r="O198" s="18"/>
      <c r="P198" s="18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779"/>
    </row>
    <row r="199" spans="1:40" ht="12.75">
      <c r="A199" s="774"/>
      <c r="B199" s="737"/>
      <c r="C199" s="782"/>
      <c r="D199" s="784"/>
      <c r="E199" s="727"/>
      <c r="F199" s="21" t="s">
        <v>18</v>
      </c>
      <c r="G199" s="15" t="s">
        <v>19</v>
      </c>
      <c r="H199" s="16"/>
      <c r="I199" s="114"/>
      <c r="J199" s="18"/>
      <c r="K199" s="18"/>
      <c r="L199" s="18"/>
      <c r="M199" s="18"/>
      <c r="N199" s="18"/>
      <c r="O199" s="18"/>
      <c r="P199" s="18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779"/>
    </row>
    <row r="200" spans="1:40" ht="12.75">
      <c r="A200" s="774"/>
      <c r="B200" s="737"/>
      <c r="C200" s="782"/>
      <c r="D200" s="784"/>
      <c r="E200" s="723"/>
      <c r="F200" s="746">
        <f>SUM(H203:AM203)</f>
        <v>200000</v>
      </c>
      <c r="G200" s="15" t="s">
        <v>23</v>
      </c>
      <c r="H200" s="16"/>
      <c r="I200" s="114"/>
      <c r="J200" s="18"/>
      <c r="K200" s="18"/>
      <c r="L200" s="18"/>
      <c r="M200" s="18"/>
      <c r="N200" s="18"/>
      <c r="O200" s="18"/>
      <c r="P200" s="18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779"/>
    </row>
    <row r="201" spans="1:40" ht="12.75">
      <c r="A201" s="774"/>
      <c r="B201" s="737"/>
      <c r="C201" s="782"/>
      <c r="D201" s="784"/>
      <c r="E201" s="776"/>
      <c r="F201" s="781"/>
      <c r="G201" s="15" t="s">
        <v>24</v>
      </c>
      <c r="H201" s="16"/>
      <c r="I201" s="114"/>
      <c r="J201" s="18"/>
      <c r="K201" s="18"/>
      <c r="L201" s="18"/>
      <c r="M201" s="18"/>
      <c r="N201" s="18"/>
      <c r="O201" s="18"/>
      <c r="P201" s="18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779"/>
    </row>
    <row r="202" spans="1:40" ht="12.75">
      <c r="A202" s="774"/>
      <c r="B202" s="737"/>
      <c r="C202" s="782"/>
      <c r="D202" s="784"/>
      <c r="E202" s="776"/>
      <c r="F202" s="21" t="s">
        <v>22</v>
      </c>
      <c r="G202" s="15" t="s">
        <v>25</v>
      </c>
      <c r="H202" s="22">
        <f aca="true" t="shared" si="47" ref="H202:AM202">H196+H198+H200</f>
        <v>0</v>
      </c>
      <c r="I202" s="115">
        <f t="shared" si="47"/>
        <v>0</v>
      </c>
      <c r="J202" s="24">
        <f t="shared" si="47"/>
        <v>0</v>
      </c>
      <c r="K202" s="24">
        <f t="shared" si="47"/>
        <v>0</v>
      </c>
      <c r="L202" s="24">
        <f t="shared" si="47"/>
        <v>0</v>
      </c>
      <c r="M202" s="24">
        <f t="shared" si="47"/>
        <v>0</v>
      </c>
      <c r="N202" s="24">
        <f t="shared" si="47"/>
        <v>0</v>
      </c>
      <c r="O202" s="24">
        <f t="shared" si="47"/>
        <v>0</v>
      </c>
      <c r="P202" s="24">
        <f t="shared" si="47"/>
        <v>0</v>
      </c>
      <c r="Q202" s="24">
        <f t="shared" si="47"/>
        <v>0</v>
      </c>
      <c r="R202" s="24">
        <f t="shared" si="47"/>
        <v>0</v>
      </c>
      <c r="S202" s="24">
        <f t="shared" si="47"/>
        <v>0</v>
      </c>
      <c r="T202" s="24">
        <f t="shared" si="47"/>
        <v>0</v>
      </c>
      <c r="U202" s="24">
        <f t="shared" si="47"/>
        <v>0</v>
      </c>
      <c r="V202" s="24">
        <f t="shared" si="47"/>
        <v>0</v>
      </c>
      <c r="W202" s="24">
        <f t="shared" si="47"/>
        <v>0</v>
      </c>
      <c r="X202" s="24">
        <f t="shared" si="47"/>
        <v>0</v>
      </c>
      <c r="Y202" s="24">
        <f t="shared" si="47"/>
        <v>0</v>
      </c>
      <c r="Z202" s="24">
        <f t="shared" si="47"/>
        <v>0</v>
      </c>
      <c r="AA202" s="24">
        <f t="shared" si="47"/>
        <v>0</v>
      </c>
      <c r="AB202" s="24">
        <f t="shared" si="47"/>
        <v>0</v>
      </c>
      <c r="AC202" s="24">
        <f t="shared" si="47"/>
        <v>0</v>
      </c>
      <c r="AD202" s="24">
        <f t="shared" si="47"/>
        <v>0</v>
      </c>
      <c r="AE202" s="24">
        <f t="shared" si="47"/>
        <v>0</v>
      </c>
      <c r="AF202" s="24">
        <f t="shared" si="47"/>
        <v>0</v>
      </c>
      <c r="AG202" s="24">
        <f t="shared" si="47"/>
        <v>0</v>
      </c>
      <c r="AH202" s="24">
        <f t="shared" si="47"/>
        <v>0</v>
      </c>
      <c r="AI202" s="24">
        <f t="shared" si="47"/>
        <v>0</v>
      </c>
      <c r="AJ202" s="24">
        <f t="shared" si="47"/>
        <v>0</v>
      </c>
      <c r="AK202" s="24">
        <f t="shared" si="47"/>
        <v>0</v>
      </c>
      <c r="AL202" s="24">
        <f t="shared" si="47"/>
        <v>0</v>
      </c>
      <c r="AM202" s="24">
        <f t="shared" si="47"/>
        <v>0</v>
      </c>
      <c r="AN202" s="779"/>
    </row>
    <row r="203" spans="1:40" ht="23.25" customHeight="1" thickBot="1">
      <c r="A203" s="806"/>
      <c r="B203" s="738"/>
      <c r="C203" s="805"/>
      <c r="D203" s="771"/>
      <c r="E203" s="777"/>
      <c r="F203" s="116">
        <f>F197+F200</f>
        <v>200000</v>
      </c>
      <c r="G203" s="36" t="s">
        <v>26</v>
      </c>
      <c r="H203" s="37">
        <f aca="true" t="shared" si="48" ref="H203:AM203">H197+H199+H201</f>
        <v>0</v>
      </c>
      <c r="I203" s="119">
        <f t="shared" si="48"/>
        <v>100000</v>
      </c>
      <c r="J203" s="29">
        <f t="shared" si="48"/>
        <v>100000</v>
      </c>
      <c r="K203" s="29">
        <f t="shared" si="48"/>
        <v>0</v>
      </c>
      <c r="L203" s="29">
        <f t="shared" si="48"/>
        <v>0</v>
      </c>
      <c r="M203" s="29">
        <f t="shared" si="48"/>
        <v>0</v>
      </c>
      <c r="N203" s="29">
        <f t="shared" si="48"/>
        <v>0</v>
      </c>
      <c r="O203" s="29">
        <f t="shared" si="48"/>
        <v>0</v>
      </c>
      <c r="P203" s="29">
        <f t="shared" si="48"/>
        <v>0</v>
      </c>
      <c r="Q203" s="29">
        <f t="shared" si="48"/>
        <v>0</v>
      </c>
      <c r="R203" s="29">
        <f t="shared" si="48"/>
        <v>0</v>
      </c>
      <c r="S203" s="29">
        <f t="shared" si="48"/>
        <v>0</v>
      </c>
      <c r="T203" s="29">
        <f t="shared" si="48"/>
        <v>0</v>
      </c>
      <c r="U203" s="29">
        <f t="shared" si="48"/>
        <v>0</v>
      </c>
      <c r="V203" s="29">
        <f t="shared" si="48"/>
        <v>0</v>
      </c>
      <c r="W203" s="29">
        <f t="shared" si="48"/>
        <v>0</v>
      </c>
      <c r="X203" s="29">
        <f t="shared" si="48"/>
        <v>0</v>
      </c>
      <c r="Y203" s="29">
        <f t="shared" si="48"/>
        <v>0</v>
      </c>
      <c r="Z203" s="29">
        <f t="shared" si="48"/>
        <v>0</v>
      </c>
      <c r="AA203" s="29">
        <f t="shared" si="48"/>
        <v>0</v>
      </c>
      <c r="AB203" s="29">
        <f t="shared" si="48"/>
        <v>0</v>
      </c>
      <c r="AC203" s="29">
        <f t="shared" si="48"/>
        <v>0</v>
      </c>
      <c r="AD203" s="29">
        <f t="shared" si="48"/>
        <v>0</v>
      </c>
      <c r="AE203" s="29">
        <f t="shared" si="48"/>
        <v>0</v>
      </c>
      <c r="AF203" s="29">
        <f t="shared" si="48"/>
        <v>0</v>
      </c>
      <c r="AG203" s="29">
        <f t="shared" si="48"/>
        <v>0</v>
      </c>
      <c r="AH203" s="29">
        <f t="shared" si="48"/>
        <v>0</v>
      </c>
      <c r="AI203" s="29">
        <f t="shared" si="48"/>
        <v>0</v>
      </c>
      <c r="AJ203" s="29">
        <f t="shared" si="48"/>
        <v>0</v>
      </c>
      <c r="AK203" s="29">
        <f t="shared" si="48"/>
        <v>0</v>
      </c>
      <c r="AL203" s="29">
        <f t="shared" si="48"/>
        <v>0</v>
      </c>
      <c r="AM203" s="29">
        <f t="shared" si="48"/>
        <v>0</v>
      </c>
      <c r="AN203" s="780"/>
    </row>
    <row r="204" spans="1:40" ht="12.75" customHeight="1">
      <c r="A204" s="773">
        <v>25</v>
      </c>
      <c r="B204" s="752" t="s">
        <v>144</v>
      </c>
      <c r="C204" s="804">
        <v>80132</v>
      </c>
      <c r="D204" s="783" t="s">
        <v>164</v>
      </c>
      <c r="E204" s="775">
        <v>2013</v>
      </c>
      <c r="F204" s="8" t="s">
        <v>14</v>
      </c>
      <c r="G204" s="32" t="s">
        <v>15</v>
      </c>
      <c r="H204" s="33"/>
      <c r="I204" s="118"/>
      <c r="J204" s="34"/>
      <c r="K204" s="34"/>
      <c r="L204" s="34"/>
      <c r="M204" s="34"/>
      <c r="N204" s="34"/>
      <c r="O204" s="34"/>
      <c r="P204" s="34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803">
        <f>SUM(J211:AM211)</f>
        <v>9778514</v>
      </c>
    </row>
    <row r="205" spans="1:40" ht="12.75">
      <c r="A205" s="774"/>
      <c r="B205" s="737"/>
      <c r="C205" s="782"/>
      <c r="D205" s="784"/>
      <c r="E205" s="776"/>
      <c r="F205" s="746">
        <f>SUM(H210:AM210)</f>
        <v>0</v>
      </c>
      <c r="G205" s="15" t="s">
        <v>16</v>
      </c>
      <c r="H205" s="16">
        <v>361486</v>
      </c>
      <c r="I205" s="114"/>
      <c r="J205" s="18"/>
      <c r="K205" s="18">
        <v>7333800</v>
      </c>
      <c r="L205" s="18">
        <v>2444714</v>
      </c>
      <c r="M205" s="18"/>
      <c r="N205" s="18"/>
      <c r="O205" s="18"/>
      <c r="P205" s="18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779"/>
    </row>
    <row r="206" spans="1:40" ht="12.75">
      <c r="A206" s="774"/>
      <c r="B206" s="737"/>
      <c r="C206" s="782"/>
      <c r="D206" s="784"/>
      <c r="E206" s="776"/>
      <c r="F206" s="781"/>
      <c r="G206" s="15" t="s">
        <v>17</v>
      </c>
      <c r="H206" s="16"/>
      <c r="I206" s="114"/>
      <c r="J206" s="18"/>
      <c r="K206" s="18"/>
      <c r="L206" s="18"/>
      <c r="M206" s="18"/>
      <c r="N206" s="18"/>
      <c r="O206" s="18"/>
      <c r="P206" s="18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779"/>
    </row>
    <row r="207" spans="1:40" ht="12.75">
      <c r="A207" s="774"/>
      <c r="B207" s="737"/>
      <c r="C207" s="782"/>
      <c r="D207" s="784"/>
      <c r="E207" s="727"/>
      <c r="F207" s="21" t="s">
        <v>18</v>
      </c>
      <c r="G207" s="15" t="s">
        <v>19</v>
      </c>
      <c r="H207" s="16"/>
      <c r="I207" s="114"/>
      <c r="J207" s="18"/>
      <c r="K207" s="18"/>
      <c r="L207" s="18"/>
      <c r="M207" s="18"/>
      <c r="N207" s="18"/>
      <c r="O207" s="18"/>
      <c r="P207" s="18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779"/>
    </row>
    <row r="208" spans="1:40" ht="12.75">
      <c r="A208" s="774"/>
      <c r="B208" s="737"/>
      <c r="C208" s="782"/>
      <c r="D208" s="784"/>
      <c r="E208" s="723">
        <v>2014</v>
      </c>
      <c r="F208" s="746">
        <f>SUM(H211:AM211)</f>
        <v>10140000</v>
      </c>
      <c r="G208" s="15" t="s">
        <v>23</v>
      </c>
      <c r="H208" s="16"/>
      <c r="I208" s="114"/>
      <c r="J208" s="18"/>
      <c r="K208" s="18"/>
      <c r="L208" s="18"/>
      <c r="M208" s="18"/>
      <c r="N208" s="18"/>
      <c r="O208" s="18"/>
      <c r="P208" s="18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779"/>
    </row>
    <row r="209" spans="1:40" ht="12.75">
      <c r="A209" s="774"/>
      <c r="B209" s="737"/>
      <c r="C209" s="782"/>
      <c r="D209" s="784"/>
      <c r="E209" s="776"/>
      <c r="F209" s="781"/>
      <c r="G209" s="15" t="s">
        <v>24</v>
      </c>
      <c r="H209" s="16"/>
      <c r="I209" s="114"/>
      <c r="J209" s="18"/>
      <c r="K209" s="18"/>
      <c r="L209" s="18"/>
      <c r="M209" s="18"/>
      <c r="N209" s="18"/>
      <c r="O209" s="18"/>
      <c r="P209" s="18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779"/>
    </row>
    <row r="210" spans="1:40" ht="12.75">
      <c r="A210" s="774"/>
      <c r="B210" s="737"/>
      <c r="C210" s="782"/>
      <c r="D210" s="784"/>
      <c r="E210" s="776"/>
      <c r="F210" s="21" t="s">
        <v>22</v>
      </c>
      <c r="G210" s="15" t="s">
        <v>25</v>
      </c>
      <c r="H210" s="22">
        <f aca="true" t="shared" si="49" ref="H210:AM210">H204+H206+H208</f>
        <v>0</v>
      </c>
      <c r="I210" s="115">
        <f t="shared" si="49"/>
        <v>0</v>
      </c>
      <c r="J210" s="24">
        <f t="shared" si="49"/>
        <v>0</v>
      </c>
      <c r="K210" s="24">
        <f t="shared" si="49"/>
        <v>0</v>
      </c>
      <c r="L210" s="24">
        <f t="shared" si="49"/>
        <v>0</v>
      </c>
      <c r="M210" s="24">
        <f t="shared" si="49"/>
        <v>0</v>
      </c>
      <c r="N210" s="24">
        <f t="shared" si="49"/>
        <v>0</v>
      </c>
      <c r="O210" s="24">
        <f t="shared" si="49"/>
        <v>0</v>
      </c>
      <c r="P210" s="24">
        <f t="shared" si="49"/>
        <v>0</v>
      </c>
      <c r="Q210" s="24">
        <f t="shared" si="49"/>
        <v>0</v>
      </c>
      <c r="R210" s="24">
        <f t="shared" si="49"/>
        <v>0</v>
      </c>
      <c r="S210" s="24">
        <f t="shared" si="49"/>
        <v>0</v>
      </c>
      <c r="T210" s="24">
        <f t="shared" si="49"/>
        <v>0</v>
      </c>
      <c r="U210" s="24">
        <f t="shared" si="49"/>
        <v>0</v>
      </c>
      <c r="V210" s="24">
        <f t="shared" si="49"/>
        <v>0</v>
      </c>
      <c r="W210" s="24">
        <f t="shared" si="49"/>
        <v>0</v>
      </c>
      <c r="X210" s="24">
        <f t="shared" si="49"/>
        <v>0</v>
      </c>
      <c r="Y210" s="24">
        <f t="shared" si="49"/>
        <v>0</v>
      </c>
      <c r="Z210" s="24">
        <f t="shared" si="49"/>
        <v>0</v>
      </c>
      <c r="AA210" s="24">
        <f t="shared" si="49"/>
        <v>0</v>
      </c>
      <c r="AB210" s="24">
        <f t="shared" si="49"/>
        <v>0</v>
      </c>
      <c r="AC210" s="24">
        <f t="shared" si="49"/>
        <v>0</v>
      </c>
      <c r="AD210" s="24">
        <f t="shared" si="49"/>
        <v>0</v>
      </c>
      <c r="AE210" s="24">
        <f t="shared" si="49"/>
        <v>0</v>
      </c>
      <c r="AF210" s="24">
        <f t="shared" si="49"/>
        <v>0</v>
      </c>
      <c r="AG210" s="24">
        <f t="shared" si="49"/>
        <v>0</v>
      </c>
      <c r="AH210" s="24">
        <f t="shared" si="49"/>
        <v>0</v>
      </c>
      <c r="AI210" s="24">
        <f t="shared" si="49"/>
        <v>0</v>
      </c>
      <c r="AJ210" s="24">
        <f t="shared" si="49"/>
        <v>0</v>
      </c>
      <c r="AK210" s="24">
        <f t="shared" si="49"/>
        <v>0</v>
      </c>
      <c r="AL210" s="24">
        <f t="shared" si="49"/>
        <v>0</v>
      </c>
      <c r="AM210" s="24">
        <f t="shared" si="49"/>
        <v>0</v>
      </c>
      <c r="AN210" s="779"/>
    </row>
    <row r="211" spans="1:40" ht="13.5" thickBot="1">
      <c r="A211" s="774"/>
      <c r="B211" s="738"/>
      <c r="C211" s="805"/>
      <c r="D211" s="784"/>
      <c r="E211" s="777"/>
      <c r="F211" s="116">
        <f>F205+F208</f>
        <v>10140000</v>
      </c>
      <c r="G211" s="36" t="s">
        <v>26</v>
      </c>
      <c r="H211" s="37">
        <f aca="true" t="shared" si="50" ref="H211:AM211">H205+H207+H209</f>
        <v>361486</v>
      </c>
      <c r="I211" s="119">
        <f t="shared" si="50"/>
        <v>0</v>
      </c>
      <c r="J211" s="29">
        <f t="shared" si="50"/>
        <v>0</v>
      </c>
      <c r="K211" s="29">
        <f t="shared" si="50"/>
        <v>7333800</v>
      </c>
      <c r="L211" s="29">
        <f t="shared" si="50"/>
        <v>2444714</v>
      </c>
      <c r="M211" s="29">
        <f t="shared" si="50"/>
        <v>0</v>
      </c>
      <c r="N211" s="29">
        <f t="shared" si="50"/>
        <v>0</v>
      </c>
      <c r="O211" s="29">
        <f t="shared" si="50"/>
        <v>0</v>
      </c>
      <c r="P211" s="29">
        <f t="shared" si="50"/>
        <v>0</v>
      </c>
      <c r="Q211" s="29">
        <f t="shared" si="50"/>
        <v>0</v>
      </c>
      <c r="R211" s="29">
        <f t="shared" si="50"/>
        <v>0</v>
      </c>
      <c r="S211" s="29">
        <f t="shared" si="50"/>
        <v>0</v>
      </c>
      <c r="T211" s="29">
        <f t="shared" si="50"/>
        <v>0</v>
      </c>
      <c r="U211" s="29">
        <f t="shared" si="50"/>
        <v>0</v>
      </c>
      <c r="V211" s="29">
        <f t="shared" si="50"/>
        <v>0</v>
      </c>
      <c r="W211" s="29">
        <f t="shared" si="50"/>
        <v>0</v>
      </c>
      <c r="X211" s="29">
        <f t="shared" si="50"/>
        <v>0</v>
      </c>
      <c r="Y211" s="29">
        <f t="shared" si="50"/>
        <v>0</v>
      </c>
      <c r="Z211" s="29">
        <f t="shared" si="50"/>
        <v>0</v>
      </c>
      <c r="AA211" s="29">
        <f t="shared" si="50"/>
        <v>0</v>
      </c>
      <c r="AB211" s="29">
        <f t="shared" si="50"/>
        <v>0</v>
      </c>
      <c r="AC211" s="29">
        <f t="shared" si="50"/>
        <v>0</v>
      </c>
      <c r="AD211" s="29">
        <f t="shared" si="50"/>
        <v>0</v>
      </c>
      <c r="AE211" s="29">
        <f t="shared" si="50"/>
        <v>0</v>
      </c>
      <c r="AF211" s="29">
        <f t="shared" si="50"/>
        <v>0</v>
      </c>
      <c r="AG211" s="29">
        <f t="shared" si="50"/>
        <v>0</v>
      </c>
      <c r="AH211" s="29">
        <f t="shared" si="50"/>
        <v>0</v>
      </c>
      <c r="AI211" s="29">
        <f t="shared" si="50"/>
        <v>0</v>
      </c>
      <c r="AJ211" s="29">
        <f t="shared" si="50"/>
        <v>0</v>
      </c>
      <c r="AK211" s="29">
        <f t="shared" si="50"/>
        <v>0</v>
      </c>
      <c r="AL211" s="29">
        <f t="shared" si="50"/>
        <v>0</v>
      </c>
      <c r="AM211" s="29">
        <f t="shared" si="50"/>
        <v>0</v>
      </c>
      <c r="AN211" s="780"/>
    </row>
    <row r="212" spans="1:40" ht="12.75" customHeight="1">
      <c r="A212" s="773">
        <v>26</v>
      </c>
      <c r="B212" s="737" t="s">
        <v>145</v>
      </c>
      <c r="C212" s="782">
        <v>85111</v>
      </c>
      <c r="D212" s="783" t="s">
        <v>164</v>
      </c>
      <c r="E212" s="776">
        <v>2009</v>
      </c>
      <c r="F212" s="8" t="s">
        <v>14</v>
      </c>
      <c r="G212" s="9" t="s">
        <v>15</v>
      </c>
      <c r="H212" s="33"/>
      <c r="I212" s="113"/>
      <c r="J212" s="12"/>
      <c r="K212" s="12"/>
      <c r="L212" s="12"/>
      <c r="M212" s="12"/>
      <c r="N212" s="12"/>
      <c r="O212" s="12"/>
      <c r="P212" s="12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803">
        <f>SUM(J219:AM219)</f>
        <v>177361</v>
      </c>
    </row>
    <row r="213" spans="1:40" ht="12.75">
      <c r="A213" s="774"/>
      <c r="B213" s="737"/>
      <c r="C213" s="782"/>
      <c r="D213" s="784"/>
      <c r="E213" s="776"/>
      <c r="F213" s="746">
        <f>SUM(H218:AM218)</f>
        <v>0</v>
      </c>
      <c r="G213" s="15" t="s">
        <v>16</v>
      </c>
      <c r="H213" s="16">
        <v>19405</v>
      </c>
      <c r="I213" s="114">
        <v>109984</v>
      </c>
      <c r="J213" s="18">
        <v>82211</v>
      </c>
      <c r="K213" s="18">
        <v>95150</v>
      </c>
      <c r="L213" s="18"/>
      <c r="M213" s="18"/>
      <c r="N213" s="18"/>
      <c r="O213" s="18"/>
      <c r="P213" s="18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779"/>
    </row>
    <row r="214" spans="1:40" ht="12.75">
      <c r="A214" s="774"/>
      <c r="B214" s="737"/>
      <c r="C214" s="782"/>
      <c r="D214" s="784"/>
      <c r="E214" s="776"/>
      <c r="F214" s="781"/>
      <c r="G214" s="15" t="s">
        <v>17</v>
      </c>
      <c r="H214" s="16"/>
      <c r="I214" s="114"/>
      <c r="J214" s="18"/>
      <c r="K214" s="18"/>
      <c r="L214" s="18"/>
      <c r="M214" s="18"/>
      <c r="N214" s="18"/>
      <c r="O214" s="18"/>
      <c r="P214" s="18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779"/>
    </row>
    <row r="215" spans="1:40" ht="12.75">
      <c r="A215" s="774"/>
      <c r="B215" s="737"/>
      <c r="C215" s="782"/>
      <c r="D215" s="784"/>
      <c r="E215" s="727"/>
      <c r="F215" s="21" t="s">
        <v>18</v>
      </c>
      <c r="G215" s="15" t="s">
        <v>19</v>
      </c>
      <c r="H215" s="16"/>
      <c r="I215" s="114"/>
      <c r="J215" s="18"/>
      <c r="K215" s="18"/>
      <c r="L215" s="18"/>
      <c r="M215" s="18"/>
      <c r="N215" s="18"/>
      <c r="O215" s="18"/>
      <c r="P215" s="18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779"/>
    </row>
    <row r="216" spans="1:40" ht="12.75">
      <c r="A216" s="774"/>
      <c r="B216" s="737"/>
      <c r="C216" s="782"/>
      <c r="D216" s="784"/>
      <c r="E216" s="723">
        <v>2013</v>
      </c>
      <c r="F216" s="746">
        <f>SUM(H219:AM219)</f>
        <v>306750</v>
      </c>
      <c r="G216" s="15" t="s">
        <v>23</v>
      </c>
      <c r="H216" s="16"/>
      <c r="I216" s="114"/>
      <c r="J216" s="18"/>
      <c r="K216" s="18"/>
      <c r="L216" s="18"/>
      <c r="M216" s="18"/>
      <c r="N216" s="18"/>
      <c r="O216" s="18"/>
      <c r="P216" s="18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779"/>
    </row>
    <row r="217" spans="1:40" ht="12.75">
      <c r="A217" s="774"/>
      <c r="B217" s="737"/>
      <c r="C217" s="782"/>
      <c r="D217" s="784"/>
      <c r="E217" s="776"/>
      <c r="F217" s="781"/>
      <c r="G217" s="15" t="s">
        <v>24</v>
      </c>
      <c r="H217" s="16"/>
      <c r="I217" s="114"/>
      <c r="J217" s="18"/>
      <c r="K217" s="18"/>
      <c r="L217" s="18"/>
      <c r="M217" s="18"/>
      <c r="N217" s="18"/>
      <c r="O217" s="18"/>
      <c r="P217" s="18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779"/>
    </row>
    <row r="218" spans="1:40" ht="12.75">
      <c r="A218" s="774"/>
      <c r="B218" s="737"/>
      <c r="C218" s="782"/>
      <c r="D218" s="784"/>
      <c r="E218" s="776"/>
      <c r="F218" s="21" t="s">
        <v>22</v>
      </c>
      <c r="G218" s="15" t="s">
        <v>25</v>
      </c>
      <c r="H218" s="22">
        <f aca="true" t="shared" si="51" ref="H218:AM218">H212+H214+H216</f>
        <v>0</v>
      </c>
      <c r="I218" s="115">
        <f t="shared" si="51"/>
        <v>0</v>
      </c>
      <c r="J218" s="24">
        <f t="shared" si="51"/>
        <v>0</v>
      </c>
      <c r="K218" s="24">
        <f t="shared" si="51"/>
        <v>0</v>
      </c>
      <c r="L218" s="24">
        <f t="shared" si="51"/>
        <v>0</v>
      </c>
      <c r="M218" s="24">
        <f t="shared" si="51"/>
        <v>0</v>
      </c>
      <c r="N218" s="24">
        <f t="shared" si="51"/>
        <v>0</v>
      </c>
      <c r="O218" s="24">
        <f t="shared" si="51"/>
        <v>0</v>
      </c>
      <c r="P218" s="24">
        <f t="shared" si="51"/>
        <v>0</v>
      </c>
      <c r="Q218" s="24">
        <f t="shared" si="51"/>
        <v>0</v>
      </c>
      <c r="R218" s="24">
        <f t="shared" si="51"/>
        <v>0</v>
      </c>
      <c r="S218" s="24">
        <f t="shared" si="51"/>
        <v>0</v>
      </c>
      <c r="T218" s="24">
        <f t="shared" si="51"/>
        <v>0</v>
      </c>
      <c r="U218" s="24">
        <f t="shared" si="51"/>
        <v>0</v>
      </c>
      <c r="V218" s="24">
        <f t="shared" si="51"/>
        <v>0</v>
      </c>
      <c r="W218" s="24">
        <f t="shared" si="51"/>
        <v>0</v>
      </c>
      <c r="X218" s="24">
        <f t="shared" si="51"/>
        <v>0</v>
      </c>
      <c r="Y218" s="24">
        <f t="shared" si="51"/>
        <v>0</v>
      </c>
      <c r="Z218" s="24">
        <f t="shared" si="51"/>
        <v>0</v>
      </c>
      <c r="AA218" s="24">
        <f t="shared" si="51"/>
        <v>0</v>
      </c>
      <c r="AB218" s="24">
        <f t="shared" si="51"/>
        <v>0</v>
      </c>
      <c r="AC218" s="24">
        <f t="shared" si="51"/>
        <v>0</v>
      </c>
      <c r="AD218" s="24">
        <f t="shared" si="51"/>
        <v>0</v>
      </c>
      <c r="AE218" s="24">
        <f t="shared" si="51"/>
        <v>0</v>
      </c>
      <c r="AF218" s="24">
        <f t="shared" si="51"/>
        <v>0</v>
      </c>
      <c r="AG218" s="24">
        <f t="shared" si="51"/>
        <v>0</v>
      </c>
      <c r="AH218" s="24">
        <f t="shared" si="51"/>
        <v>0</v>
      </c>
      <c r="AI218" s="24">
        <f t="shared" si="51"/>
        <v>0</v>
      </c>
      <c r="AJ218" s="24">
        <f t="shared" si="51"/>
        <v>0</v>
      </c>
      <c r="AK218" s="24">
        <f t="shared" si="51"/>
        <v>0</v>
      </c>
      <c r="AL218" s="24">
        <f t="shared" si="51"/>
        <v>0</v>
      </c>
      <c r="AM218" s="24">
        <f t="shared" si="51"/>
        <v>0</v>
      </c>
      <c r="AN218" s="779"/>
    </row>
    <row r="219" spans="1:40" ht="13.5" thickBot="1">
      <c r="A219" s="774"/>
      <c r="B219" s="737"/>
      <c r="C219" s="782"/>
      <c r="D219" s="784"/>
      <c r="E219" s="776"/>
      <c r="F219" s="116">
        <f>F213+F216</f>
        <v>306750</v>
      </c>
      <c r="G219" s="26" t="s">
        <v>26</v>
      </c>
      <c r="H219" s="37">
        <f aca="true" t="shared" si="52" ref="H219:AM219">H213+H215+H217</f>
        <v>19405</v>
      </c>
      <c r="I219" s="117">
        <f t="shared" si="52"/>
        <v>109984</v>
      </c>
      <c r="J219" s="30">
        <f t="shared" si="52"/>
        <v>82211</v>
      </c>
      <c r="K219" s="30">
        <f t="shared" si="52"/>
        <v>95150</v>
      </c>
      <c r="L219" s="30">
        <f t="shared" si="52"/>
        <v>0</v>
      </c>
      <c r="M219" s="30">
        <f t="shared" si="52"/>
        <v>0</v>
      </c>
      <c r="N219" s="30">
        <f t="shared" si="52"/>
        <v>0</v>
      </c>
      <c r="O219" s="30">
        <f t="shared" si="52"/>
        <v>0</v>
      </c>
      <c r="P219" s="30">
        <f t="shared" si="52"/>
        <v>0</v>
      </c>
      <c r="Q219" s="30">
        <f t="shared" si="52"/>
        <v>0</v>
      </c>
      <c r="R219" s="30">
        <f t="shared" si="52"/>
        <v>0</v>
      </c>
      <c r="S219" s="30">
        <f t="shared" si="52"/>
        <v>0</v>
      </c>
      <c r="T219" s="30">
        <f t="shared" si="52"/>
        <v>0</v>
      </c>
      <c r="U219" s="30">
        <f t="shared" si="52"/>
        <v>0</v>
      </c>
      <c r="V219" s="30">
        <f t="shared" si="52"/>
        <v>0</v>
      </c>
      <c r="W219" s="30">
        <f t="shared" si="52"/>
        <v>0</v>
      </c>
      <c r="X219" s="30">
        <f t="shared" si="52"/>
        <v>0</v>
      </c>
      <c r="Y219" s="30">
        <f t="shared" si="52"/>
        <v>0</v>
      </c>
      <c r="Z219" s="30">
        <f t="shared" si="52"/>
        <v>0</v>
      </c>
      <c r="AA219" s="30">
        <f t="shared" si="52"/>
        <v>0</v>
      </c>
      <c r="AB219" s="30">
        <f t="shared" si="52"/>
        <v>0</v>
      </c>
      <c r="AC219" s="30">
        <f t="shared" si="52"/>
        <v>0</v>
      </c>
      <c r="AD219" s="30">
        <f t="shared" si="52"/>
        <v>0</v>
      </c>
      <c r="AE219" s="30">
        <f t="shared" si="52"/>
        <v>0</v>
      </c>
      <c r="AF219" s="30">
        <f t="shared" si="52"/>
        <v>0</v>
      </c>
      <c r="AG219" s="30">
        <f t="shared" si="52"/>
        <v>0</v>
      </c>
      <c r="AH219" s="30">
        <f t="shared" si="52"/>
        <v>0</v>
      </c>
      <c r="AI219" s="30">
        <f t="shared" si="52"/>
        <v>0</v>
      </c>
      <c r="AJ219" s="30">
        <f t="shared" si="52"/>
        <v>0</v>
      </c>
      <c r="AK219" s="30">
        <f t="shared" si="52"/>
        <v>0</v>
      </c>
      <c r="AL219" s="30">
        <f t="shared" si="52"/>
        <v>0</v>
      </c>
      <c r="AM219" s="30">
        <f t="shared" si="52"/>
        <v>0</v>
      </c>
      <c r="AN219" s="780"/>
    </row>
    <row r="220" spans="1:40" ht="12.75" customHeight="1">
      <c r="A220" s="773">
        <v>27</v>
      </c>
      <c r="B220" s="752" t="s">
        <v>146</v>
      </c>
      <c r="C220" s="804">
        <v>85406</v>
      </c>
      <c r="D220" s="783" t="s">
        <v>164</v>
      </c>
      <c r="E220" s="775">
        <v>2012</v>
      </c>
      <c r="F220" s="8" t="s">
        <v>14</v>
      </c>
      <c r="G220" s="32" t="s">
        <v>15</v>
      </c>
      <c r="H220" s="33"/>
      <c r="I220" s="118"/>
      <c r="J220" s="34"/>
      <c r="K220" s="34"/>
      <c r="L220" s="34"/>
      <c r="M220" s="34"/>
      <c r="N220" s="34"/>
      <c r="O220" s="34"/>
      <c r="P220" s="34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803">
        <f>SUM(J227:AM227)</f>
        <v>1600000</v>
      </c>
    </row>
    <row r="221" spans="1:40" ht="12.75">
      <c r="A221" s="774"/>
      <c r="B221" s="737"/>
      <c r="C221" s="782"/>
      <c r="D221" s="784"/>
      <c r="E221" s="776"/>
      <c r="F221" s="746">
        <f>SUM(H226:AM226)</f>
        <v>0</v>
      </c>
      <c r="G221" s="15" t="s">
        <v>16</v>
      </c>
      <c r="H221" s="16"/>
      <c r="I221" s="114"/>
      <c r="J221" s="18">
        <v>1600000</v>
      </c>
      <c r="K221" s="18"/>
      <c r="L221" s="18"/>
      <c r="M221" s="18"/>
      <c r="N221" s="18"/>
      <c r="O221" s="18"/>
      <c r="P221" s="18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779"/>
    </row>
    <row r="222" spans="1:40" ht="12.75">
      <c r="A222" s="774"/>
      <c r="B222" s="737"/>
      <c r="C222" s="782"/>
      <c r="D222" s="784"/>
      <c r="E222" s="776"/>
      <c r="F222" s="781"/>
      <c r="G222" s="15" t="s">
        <v>17</v>
      </c>
      <c r="H222" s="16"/>
      <c r="I222" s="114"/>
      <c r="J222" s="18"/>
      <c r="K222" s="18"/>
      <c r="L222" s="18"/>
      <c r="M222" s="18"/>
      <c r="N222" s="18"/>
      <c r="O222" s="18"/>
      <c r="P222" s="18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779"/>
    </row>
    <row r="223" spans="1:40" ht="12.75">
      <c r="A223" s="774"/>
      <c r="B223" s="737"/>
      <c r="C223" s="782"/>
      <c r="D223" s="784"/>
      <c r="E223" s="727"/>
      <c r="F223" s="21" t="s">
        <v>18</v>
      </c>
      <c r="G223" s="15" t="s">
        <v>19</v>
      </c>
      <c r="H223" s="16"/>
      <c r="I223" s="114"/>
      <c r="J223" s="18"/>
      <c r="K223" s="18"/>
      <c r="L223" s="18"/>
      <c r="M223" s="18"/>
      <c r="N223" s="18"/>
      <c r="O223" s="18"/>
      <c r="P223" s="18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779"/>
    </row>
    <row r="224" spans="1:40" ht="12.75">
      <c r="A224" s="774"/>
      <c r="B224" s="737"/>
      <c r="C224" s="782"/>
      <c r="D224" s="784"/>
      <c r="E224" s="723">
        <v>2012</v>
      </c>
      <c r="F224" s="746">
        <f>SUM(H227:AM227)</f>
        <v>1600000</v>
      </c>
      <c r="G224" s="15" t="s">
        <v>23</v>
      </c>
      <c r="H224" s="16"/>
      <c r="I224" s="114"/>
      <c r="J224" s="18"/>
      <c r="K224" s="18"/>
      <c r="L224" s="18"/>
      <c r="M224" s="18"/>
      <c r="N224" s="18"/>
      <c r="O224" s="18"/>
      <c r="P224" s="18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779"/>
    </row>
    <row r="225" spans="1:40" ht="12.75">
      <c r="A225" s="774"/>
      <c r="B225" s="737"/>
      <c r="C225" s="782"/>
      <c r="D225" s="784"/>
      <c r="E225" s="776"/>
      <c r="F225" s="781"/>
      <c r="G225" s="15" t="s">
        <v>24</v>
      </c>
      <c r="H225" s="16"/>
      <c r="I225" s="114"/>
      <c r="J225" s="18"/>
      <c r="K225" s="18"/>
      <c r="L225" s="18"/>
      <c r="M225" s="18"/>
      <c r="N225" s="18"/>
      <c r="O225" s="18"/>
      <c r="P225" s="18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779"/>
    </row>
    <row r="226" spans="1:40" ht="12.75">
      <c r="A226" s="774"/>
      <c r="B226" s="737"/>
      <c r="C226" s="782"/>
      <c r="D226" s="784"/>
      <c r="E226" s="776"/>
      <c r="F226" s="21" t="s">
        <v>22</v>
      </c>
      <c r="G226" s="15" t="s">
        <v>25</v>
      </c>
      <c r="H226" s="22">
        <f aca="true" t="shared" si="53" ref="H226:AM226">H220+H222+H224</f>
        <v>0</v>
      </c>
      <c r="I226" s="115">
        <f t="shared" si="53"/>
        <v>0</v>
      </c>
      <c r="J226" s="24">
        <f t="shared" si="53"/>
        <v>0</v>
      </c>
      <c r="K226" s="24">
        <f t="shared" si="53"/>
        <v>0</v>
      </c>
      <c r="L226" s="24">
        <f t="shared" si="53"/>
        <v>0</v>
      </c>
      <c r="M226" s="24">
        <f t="shared" si="53"/>
        <v>0</v>
      </c>
      <c r="N226" s="24">
        <f t="shared" si="53"/>
        <v>0</v>
      </c>
      <c r="O226" s="24">
        <f t="shared" si="53"/>
        <v>0</v>
      </c>
      <c r="P226" s="24">
        <f t="shared" si="53"/>
        <v>0</v>
      </c>
      <c r="Q226" s="24">
        <f t="shared" si="53"/>
        <v>0</v>
      </c>
      <c r="R226" s="24">
        <f t="shared" si="53"/>
        <v>0</v>
      </c>
      <c r="S226" s="24">
        <f t="shared" si="53"/>
        <v>0</v>
      </c>
      <c r="T226" s="24">
        <f t="shared" si="53"/>
        <v>0</v>
      </c>
      <c r="U226" s="24">
        <f t="shared" si="53"/>
        <v>0</v>
      </c>
      <c r="V226" s="24">
        <f t="shared" si="53"/>
        <v>0</v>
      </c>
      <c r="W226" s="24">
        <f t="shared" si="53"/>
        <v>0</v>
      </c>
      <c r="X226" s="24">
        <f t="shared" si="53"/>
        <v>0</v>
      </c>
      <c r="Y226" s="24">
        <f t="shared" si="53"/>
        <v>0</v>
      </c>
      <c r="Z226" s="24">
        <f t="shared" si="53"/>
        <v>0</v>
      </c>
      <c r="AA226" s="24">
        <f t="shared" si="53"/>
        <v>0</v>
      </c>
      <c r="AB226" s="24">
        <f t="shared" si="53"/>
        <v>0</v>
      </c>
      <c r="AC226" s="24">
        <f t="shared" si="53"/>
        <v>0</v>
      </c>
      <c r="AD226" s="24">
        <f t="shared" si="53"/>
        <v>0</v>
      </c>
      <c r="AE226" s="24">
        <f t="shared" si="53"/>
        <v>0</v>
      </c>
      <c r="AF226" s="24">
        <f t="shared" si="53"/>
        <v>0</v>
      </c>
      <c r="AG226" s="24">
        <f t="shared" si="53"/>
        <v>0</v>
      </c>
      <c r="AH226" s="24">
        <f t="shared" si="53"/>
        <v>0</v>
      </c>
      <c r="AI226" s="24">
        <f t="shared" si="53"/>
        <v>0</v>
      </c>
      <c r="AJ226" s="24">
        <f t="shared" si="53"/>
        <v>0</v>
      </c>
      <c r="AK226" s="24">
        <f t="shared" si="53"/>
        <v>0</v>
      </c>
      <c r="AL226" s="24">
        <f t="shared" si="53"/>
        <v>0</v>
      </c>
      <c r="AM226" s="24">
        <f t="shared" si="53"/>
        <v>0</v>
      </c>
      <c r="AN226" s="779"/>
    </row>
    <row r="227" spans="1:40" ht="13.5" thickBot="1">
      <c r="A227" s="774"/>
      <c r="B227" s="738"/>
      <c r="C227" s="805"/>
      <c r="D227" s="784"/>
      <c r="E227" s="777"/>
      <c r="F227" s="116">
        <f>F221+F224</f>
        <v>1600000</v>
      </c>
      <c r="G227" s="36" t="s">
        <v>26</v>
      </c>
      <c r="H227" s="37">
        <f aca="true" t="shared" si="54" ref="H227:AM227">H221+H223+H225</f>
        <v>0</v>
      </c>
      <c r="I227" s="119">
        <f t="shared" si="54"/>
        <v>0</v>
      </c>
      <c r="J227" s="29">
        <f t="shared" si="54"/>
        <v>1600000</v>
      </c>
      <c r="K227" s="29">
        <f t="shared" si="54"/>
        <v>0</v>
      </c>
      <c r="L227" s="29">
        <f t="shared" si="54"/>
        <v>0</v>
      </c>
      <c r="M227" s="29">
        <f t="shared" si="54"/>
        <v>0</v>
      </c>
      <c r="N227" s="29">
        <f t="shared" si="54"/>
        <v>0</v>
      </c>
      <c r="O227" s="29">
        <f t="shared" si="54"/>
        <v>0</v>
      </c>
      <c r="P227" s="29">
        <f t="shared" si="54"/>
        <v>0</v>
      </c>
      <c r="Q227" s="29">
        <f t="shared" si="54"/>
        <v>0</v>
      </c>
      <c r="R227" s="29">
        <f t="shared" si="54"/>
        <v>0</v>
      </c>
      <c r="S227" s="29">
        <f t="shared" si="54"/>
        <v>0</v>
      </c>
      <c r="T227" s="29">
        <f t="shared" si="54"/>
        <v>0</v>
      </c>
      <c r="U227" s="29">
        <f t="shared" si="54"/>
        <v>0</v>
      </c>
      <c r="V227" s="29">
        <f t="shared" si="54"/>
        <v>0</v>
      </c>
      <c r="W227" s="29">
        <f t="shared" si="54"/>
        <v>0</v>
      </c>
      <c r="X227" s="29">
        <f t="shared" si="54"/>
        <v>0</v>
      </c>
      <c r="Y227" s="29">
        <f t="shared" si="54"/>
        <v>0</v>
      </c>
      <c r="Z227" s="29">
        <f t="shared" si="54"/>
        <v>0</v>
      </c>
      <c r="AA227" s="29">
        <f t="shared" si="54"/>
        <v>0</v>
      </c>
      <c r="AB227" s="29">
        <f t="shared" si="54"/>
        <v>0</v>
      </c>
      <c r="AC227" s="29">
        <f t="shared" si="54"/>
        <v>0</v>
      </c>
      <c r="AD227" s="29">
        <f t="shared" si="54"/>
        <v>0</v>
      </c>
      <c r="AE227" s="29">
        <f t="shared" si="54"/>
        <v>0</v>
      </c>
      <c r="AF227" s="29">
        <f t="shared" si="54"/>
        <v>0</v>
      </c>
      <c r="AG227" s="29">
        <f t="shared" si="54"/>
        <v>0</v>
      </c>
      <c r="AH227" s="29">
        <f t="shared" si="54"/>
        <v>0</v>
      </c>
      <c r="AI227" s="29">
        <f t="shared" si="54"/>
        <v>0</v>
      </c>
      <c r="AJ227" s="29">
        <f t="shared" si="54"/>
        <v>0</v>
      </c>
      <c r="AK227" s="29">
        <f t="shared" si="54"/>
        <v>0</v>
      </c>
      <c r="AL227" s="29">
        <f t="shared" si="54"/>
        <v>0</v>
      </c>
      <c r="AM227" s="29">
        <f t="shared" si="54"/>
        <v>0</v>
      </c>
      <c r="AN227" s="780"/>
    </row>
    <row r="228" spans="1:40" ht="12.75" customHeight="1">
      <c r="A228" s="773">
        <v>28</v>
      </c>
      <c r="B228" s="752" t="s">
        <v>135</v>
      </c>
      <c r="C228" s="804">
        <v>85406</v>
      </c>
      <c r="D228" s="783" t="s">
        <v>164</v>
      </c>
      <c r="E228" s="775"/>
      <c r="F228" s="8" t="s">
        <v>14</v>
      </c>
      <c r="G228" s="32" t="s">
        <v>15</v>
      </c>
      <c r="H228" s="33"/>
      <c r="I228" s="118"/>
      <c r="J228" s="34"/>
      <c r="K228" s="34"/>
      <c r="L228" s="34"/>
      <c r="M228" s="34"/>
      <c r="N228" s="34"/>
      <c r="O228" s="34"/>
      <c r="P228" s="34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803">
        <f>SUM(J235:AM235)</f>
        <v>0</v>
      </c>
    </row>
    <row r="229" spans="1:40" ht="12.75">
      <c r="A229" s="774"/>
      <c r="B229" s="737"/>
      <c r="C229" s="782"/>
      <c r="D229" s="784"/>
      <c r="E229" s="776"/>
      <c r="F229" s="746">
        <f>SUM(H234:AM234)</f>
        <v>0</v>
      </c>
      <c r="G229" s="15" t="s">
        <v>16</v>
      </c>
      <c r="H229" s="16"/>
      <c r="I229" s="114">
        <v>15000</v>
      </c>
      <c r="J229" s="18"/>
      <c r="K229" s="18"/>
      <c r="L229" s="18"/>
      <c r="M229" s="18"/>
      <c r="N229" s="18"/>
      <c r="O229" s="18"/>
      <c r="P229" s="18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779"/>
    </row>
    <row r="230" spans="1:40" ht="12.75">
      <c r="A230" s="774"/>
      <c r="B230" s="737"/>
      <c r="C230" s="782"/>
      <c r="D230" s="784"/>
      <c r="E230" s="776"/>
      <c r="F230" s="781"/>
      <c r="G230" s="15" t="s">
        <v>17</v>
      </c>
      <c r="H230" s="16"/>
      <c r="I230" s="114"/>
      <c r="J230" s="18"/>
      <c r="K230" s="18"/>
      <c r="L230" s="18"/>
      <c r="M230" s="18"/>
      <c r="N230" s="18"/>
      <c r="O230" s="18"/>
      <c r="P230" s="18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779"/>
    </row>
    <row r="231" spans="1:40" ht="12.75">
      <c r="A231" s="774"/>
      <c r="B231" s="737"/>
      <c r="C231" s="782"/>
      <c r="D231" s="784"/>
      <c r="E231" s="727"/>
      <c r="F231" s="21" t="s">
        <v>18</v>
      </c>
      <c r="G231" s="15" t="s">
        <v>19</v>
      </c>
      <c r="H231" s="16"/>
      <c r="I231" s="114"/>
      <c r="J231" s="18"/>
      <c r="K231" s="18"/>
      <c r="L231" s="18"/>
      <c r="M231" s="18"/>
      <c r="N231" s="18"/>
      <c r="O231" s="18"/>
      <c r="P231" s="18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779"/>
    </row>
    <row r="232" spans="1:40" ht="12.75">
      <c r="A232" s="774"/>
      <c r="B232" s="737"/>
      <c r="C232" s="782"/>
      <c r="D232" s="784"/>
      <c r="E232" s="723"/>
      <c r="F232" s="746">
        <f>SUM(H235:AM235)</f>
        <v>15000</v>
      </c>
      <c r="G232" s="15" t="s">
        <v>23</v>
      </c>
      <c r="H232" s="16"/>
      <c r="I232" s="114"/>
      <c r="J232" s="18"/>
      <c r="K232" s="18"/>
      <c r="L232" s="18"/>
      <c r="M232" s="18"/>
      <c r="N232" s="18"/>
      <c r="O232" s="18"/>
      <c r="P232" s="18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779"/>
    </row>
    <row r="233" spans="1:40" ht="12.75">
      <c r="A233" s="774"/>
      <c r="B233" s="737"/>
      <c r="C233" s="782"/>
      <c r="D233" s="784"/>
      <c r="E233" s="776"/>
      <c r="F233" s="781"/>
      <c r="G233" s="15" t="s">
        <v>24</v>
      </c>
      <c r="H233" s="16"/>
      <c r="I233" s="114"/>
      <c r="J233" s="18"/>
      <c r="K233" s="18"/>
      <c r="L233" s="18"/>
      <c r="M233" s="18"/>
      <c r="N233" s="18"/>
      <c r="O233" s="18"/>
      <c r="P233" s="18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779"/>
    </row>
    <row r="234" spans="1:40" ht="12.75">
      <c r="A234" s="774"/>
      <c r="B234" s="737"/>
      <c r="C234" s="782"/>
      <c r="D234" s="784"/>
      <c r="E234" s="776"/>
      <c r="F234" s="21" t="s">
        <v>22</v>
      </c>
      <c r="G234" s="15" t="s">
        <v>25</v>
      </c>
      <c r="H234" s="22">
        <f aca="true" t="shared" si="55" ref="H234:AM234">H228+H230+H232</f>
        <v>0</v>
      </c>
      <c r="I234" s="115">
        <f t="shared" si="55"/>
        <v>0</v>
      </c>
      <c r="J234" s="24">
        <f t="shared" si="55"/>
        <v>0</v>
      </c>
      <c r="K234" s="24">
        <f t="shared" si="55"/>
        <v>0</v>
      </c>
      <c r="L234" s="24">
        <f t="shared" si="55"/>
        <v>0</v>
      </c>
      <c r="M234" s="24">
        <f t="shared" si="55"/>
        <v>0</v>
      </c>
      <c r="N234" s="24">
        <f t="shared" si="55"/>
        <v>0</v>
      </c>
      <c r="O234" s="24">
        <f t="shared" si="55"/>
        <v>0</v>
      </c>
      <c r="P234" s="24">
        <f t="shared" si="55"/>
        <v>0</v>
      </c>
      <c r="Q234" s="24">
        <f t="shared" si="55"/>
        <v>0</v>
      </c>
      <c r="R234" s="24">
        <f t="shared" si="55"/>
        <v>0</v>
      </c>
      <c r="S234" s="24">
        <f t="shared" si="55"/>
        <v>0</v>
      </c>
      <c r="T234" s="24">
        <f t="shared" si="55"/>
        <v>0</v>
      </c>
      <c r="U234" s="24">
        <f t="shared" si="55"/>
        <v>0</v>
      </c>
      <c r="V234" s="24">
        <f t="shared" si="55"/>
        <v>0</v>
      </c>
      <c r="W234" s="24">
        <f t="shared" si="55"/>
        <v>0</v>
      </c>
      <c r="X234" s="24">
        <f t="shared" si="55"/>
        <v>0</v>
      </c>
      <c r="Y234" s="24">
        <f t="shared" si="55"/>
        <v>0</v>
      </c>
      <c r="Z234" s="24">
        <f t="shared" si="55"/>
        <v>0</v>
      </c>
      <c r="AA234" s="24">
        <f t="shared" si="55"/>
        <v>0</v>
      </c>
      <c r="AB234" s="24">
        <f t="shared" si="55"/>
        <v>0</v>
      </c>
      <c r="AC234" s="24">
        <f t="shared" si="55"/>
        <v>0</v>
      </c>
      <c r="AD234" s="24">
        <f t="shared" si="55"/>
        <v>0</v>
      </c>
      <c r="AE234" s="24">
        <f t="shared" si="55"/>
        <v>0</v>
      </c>
      <c r="AF234" s="24">
        <f t="shared" si="55"/>
        <v>0</v>
      </c>
      <c r="AG234" s="24">
        <f t="shared" si="55"/>
        <v>0</v>
      </c>
      <c r="AH234" s="24">
        <f t="shared" si="55"/>
        <v>0</v>
      </c>
      <c r="AI234" s="24">
        <f t="shared" si="55"/>
        <v>0</v>
      </c>
      <c r="AJ234" s="24">
        <f t="shared" si="55"/>
        <v>0</v>
      </c>
      <c r="AK234" s="24">
        <f t="shared" si="55"/>
        <v>0</v>
      </c>
      <c r="AL234" s="24">
        <f t="shared" si="55"/>
        <v>0</v>
      </c>
      <c r="AM234" s="24">
        <f t="shared" si="55"/>
        <v>0</v>
      </c>
      <c r="AN234" s="779"/>
    </row>
    <row r="235" spans="1:40" ht="13.5" thickBot="1">
      <c r="A235" s="806"/>
      <c r="B235" s="738"/>
      <c r="C235" s="805"/>
      <c r="D235" s="771"/>
      <c r="E235" s="777"/>
      <c r="F235" s="116">
        <f>F229+F232</f>
        <v>15000</v>
      </c>
      <c r="G235" s="36" t="s">
        <v>26</v>
      </c>
      <c r="H235" s="37">
        <f aca="true" t="shared" si="56" ref="H235:AM235">H229+H231+H233</f>
        <v>0</v>
      </c>
      <c r="I235" s="119">
        <f t="shared" si="56"/>
        <v>15000</v>
      </c>
      <c r="J235" s="29">
        <f t="shared" si="56"/>
        <v>0</v>
      </c>
      <c r="K235" s="29">
        <f t="shared" si="56"/>
        <v>0</v>
      </c>
      <c r="L235" s="29">
        <f t="shared" si="56"/>
        <v>0</v>
      </c>
      <c r="M235" s="29">
        <f t="shared" si="56"/>
        <v>0</v>
      </c>
      <c r="N235" s="29">
        <f t="shared" si="56"/>
        <v>0</v>
      </c>
      <c r="O235" s="29">
        <f t="shared" si="56"/>
        <v>0</v>
      </c>
      <c r="P235" s="29">
        <f t="shared" si="56"/>
        <v>0</v>
      </c>
      <c r="Q235" s="29">
        <f t="shared" si="56"/>
        <v>0</v>
      </c>
      <c r="R235" s="29">
        <f t="shared" si="56"/>
        <v>0</v>
      </c>
      <c r="S235" s="29">
        <f t="shared" si="56"/>
        <v>0</v>
      </c>
      <c r="T235" s="29">
        <f t="shared" si="56"/>
        <v>0</v>
      </c>
      <c r="U235" s="29">
        <f t="shared" si="56"/>
        <v>0</v>
      </c>
      <c r="V235" s="29">
        <f t="shared" si="56"/>
        <v>0</v>
      </c>
      <c r="W235" s="29">
        <f t="shared" si="56"/>
        <v>0</v>
      </c>
      <c r="X235" s="29">
        <f t="shared" si="56"/>
        <v>0</v>
      </c>
      <c r="Y235" s="29">
        <f t="shared" si="56"/>
        <v>0</v>
      </c>
      <c r="Z235" s="29">
        <f t="shared" si="56"/>
        <v>0</v>
      </c>
      <c r="AA235" s="29">
        <f t="shared" si="56"/>
        <v>0</v>
      </c>
      <c r="AB235" s="29">
        <f t="shared" si="56"/>
        <v>0</v>
      </c>
      <c r="AC235" s="29">
        <f t="shared" si="56"/>
        <v>0</v>
      </c>
      <c r="AD235" s="29">
        <f t="shared" si="56"/>
        <v>0</v>
      </c>
      <c r="AE235" s="29">
        <f t="shared" si="56"/>
        <v>0</v>
      </c>
      <c r="AF235" s="29">
        <f t="shared" si="56"/>
        <v>0</v>
      </c>
      <c r="AG235" s="29">
        <f t="shared" si="56"/>
        <v>0</v>
      </c>
      <c r="AH235" s="29">
        <f t="shared" si="56"/>
        <v>0</v>
      </c>
      <c r="AI235" s="29">
        <f t="shared" si="56"/>
        <v>0</v>
      </c>
      <c r="AJ235" s="29">
        <f t="shared" si="56"/>
        <v>0</v>
      </c>
      <c r="AK235" s="29">
        <f t="shared" si="56"/>
        <v>0</v>
      </c>
      <c r="AL235" s="29">
        <f t="shared" si="56"/>
        <v>0</v>
      </c>
      <c r="AM235" s="29">
        <f t="shared" si="56"/>
        <v>0</v>
      </c>
      <c r="AN235" s="780"/>
    </row>
    <row r="236" spans="1:40" ht="12.75" customHeight="1">
      <c r="A236" s="773">
        <v>29</v>
      </c>
      <c r="B236" s="752" t="s">
        <v>166</v>
      </c>
      <c r="C236" s="804">
        <v>90001</v>
      </c>
      <c r="D236" s="783" t="s">
        <v>164</v>
      </c>
      <c r="E236" s="775">
        <v>2011</v>
      </c>
      <c r="F236" s="8" t="s">
        <v>14</v>
      </c>
      <c r="G236" s="32" t="s">
        <v>15</v>
      </c>
      <c r="H236" s="33"/>
      <c r="I236" s="118"/>
      <c r="J236" s="34"/>
      <c r="K236" s="34"/>
      <c r="L236" s="34"/>
      <c r="M236" s="34"/>
      <c r="N236" s="34"/>
      <c r="O236" s="34"/>
      <c r="P236" s="34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803">
        <f>SUM(J243:AM243)</f>
        <v>9000000</v>
      </c>
    </row>
    <row r="237" spans="1:40" ht="12.75">
      <c r="A237" s="774"/>
      <c r="B237" s="737"/>
      <c r="C237" s="782"/>
      <c r="D237" s="784"/>
      <c r="E237" s="776"/>
      <c r="F237" s="746">
        <f>SUM(H242:AM242)</f>
        <v>0</v>
      </c>
      <c r="G237" s="15" t="s">
        <v>16</v>
      </c>
      <c r="H237" s="16"/>
      <c r="I237" s="114">
        <f>5000000+1000000+100000</f>
        <v>6100000</v>
      </c>
      <c r="J237" s="18">
        <f>3000000+1000000</f>
        <v>4000000</v>
      </c>
      <c r="K237" s="18">
        <f>3000000+2000000</f>
        <v>5000000</v>
      </c>
      <c r="L237" s="18"/>
      <c r="M237" s="18"/>
      <c r="N237" s="18"/>
      <c r="O237" s="18"/>
      <c r="P237" s="18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779"/>
    </row>
    <row r="238" spans="1:40" ht="12.75">
      <c r="A238" s="774"/>
      <c r="B238" s="737"/>
      <c r="C238" s="782"/>
      <c r="D238" s="784"/>
      <c r="E238" s="776"/>
      <c r="F238" s="781"/>
      <c r="G238" s="15" t="s">
        <v>17</v>
      </c>
      <c r="H238" s="16"/>
      <c r="I238" s="114"/>
      <c r="J238" s="18"/>
      <c r="K238" s="18"/>
      <c r="L238" s="18"/>
      <c r="M238" s="18"/>
      <c r="N238" s="18"/>
      <c r="O238" s="18"/>
      <c r="P238" s="18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779"/>
    </row>
    <row r="239" spans="1:40" ht="12.75">
      <c r="A239" s="774"/>
      <c r="B239" s="737"/>
      <c r="C239" s="782"/>
      <c r="D239" s="784"/>
      <c r="E239" s="727"/>
      <c r="F239" s="21" t="s">
        <v>18</v>
      </c>
      <c r="G239" s="15" t="s">
        <v>19</v>
      </c>
      <c r="H239" s="16"/>
      <c r="I239" s="114"/>
      <c r="J239" s="18"/>
      <c r="K239" s="18"/>
      <c r="L239" s="18"/>
      <c r="M239" s="18"/>
      <c r="N239" s="18"/>
      <c r="O239" s="18"/>
      <c r="P239" s="18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779"/>
    </row>
    <row r="240" spans="1:40" ht="12.75">
      <c r="A240" s="774"/>
      <c r="B240" s="737"/>
      <c r="C240" s="782"/>
      <c r="D240" s="784"/>
      <c r="E240" s="723">
        <v>2013</v>
      </c>
      <c r="F240" s="746">
        <f>SUM(H243:AM243)</f>
        <v>15100000</v>
      </c>
      <c r="G240" s="15" t="s">
        <v>23</v>
      </c>
      <c r="H240" s="16"/>
      <c r="I240" s="114"/>
      <c r="J240" s="18"/>
      <c r="K240" s="18"/>
      <c r="L240" s="18"/>
      <c r="M240" s="18"/>
      <c r="N240" s="18"/>
      <c r="O240" s="18"/>
      <c r="P240" s="18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779"/>
    </row>
    <row r="241" spans="1:40" ht="12.75">
      <c r="A241" s="774"/>
      <c r="B241" s="737"/>
      <c r="C241" s="782"/>
      <c r="D241" s="784"/>
      <c r="E241" s="776"/>
      <c r="F241" s="781"/>
      <c r="G241" s="15" t="s">
        <v>24</v>
      </c>
      <c r="H241" s="16"/>
      <c r="I241" s="114"/>
      <c r="J241" s="18"/>
      <c r="K241" s="18"/>
      <c r="L241" s="18"/>
      <c r="M241" s="18"/>
      <c r="N241" s="18"/>
      <c r="O241" s="18"/>
      <c r="P241" s="18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779"/>
    </row>
    <row r="242" spans="1:40" ht="12.75">
      <c r="A242" s="774"/>
      <c r="B242" s="737"/>
      <c r="C242" s="782"/>
      <c r="D242" s="784"/>
      <c r="E242" s="776"/>
      <c r="F242" s="21" t="s">
        <v>22</v>
      </c>
      <c r="G242" s="15" t="s">
        <v>25</v>
      </c>
      <c r="H242" s="22">
        <f aca="true" t="shared" si="57" ref="H242:AM242">H236+H238+H240</f>
        <v>0</v>
      </c>
      <c r="I242" s="115">
        <f t="shared" si="57"/>
        <v>0</v>
      </c>
      <c r="J242" s="24">
        <f t="shared" si="57"/>
        <v>0</v>
      </c>
      <c r="K242" s="24">
        <f t="shared" si="57"/>
        <v>0</v>
      </c>
      <c r="L242" s="24">
        <f t="shared" si="57"/>
        <v>0</v>
      </c>
      <c r="M242" s="24">
        <f t="shared" si="57"/>
        <v>0</v>
      </c>
      <c r="N242" s="24">
        <f t="shared" si="57"/>
        <v>0</v>
      </c>
      <c r="O242" s="24">
        <f t="shared" si="57"/>
        <v>0</v>
      </c>
      <c r="P242" s="24">
        <f t="shared" si="57"/>
        <v>0</v>
      </c>
      <c r="Q242" s="24">
        <f t="shared" si="57"/>
        <v>0</v>
      </c>
      <c r="R242" s="24">
        <f t="shared" si="57"/>
        <v>0</v>
      </c>
      <c r="S242" s="24">
        <f t="shared" si="57"/>
        <v>0</v>
      </c>
      <c r="T242" s="24">
        <f t="shared" si="57"/>
        <v>0</v>
      </c>
      <c r="U242" s="24">
        <f t="shared" si="57"/>
        <v>0</v>
      </c>
      <c r="V242" s="24">
        <f t="shared" si="57"/>
        <v>0</v>
      </c>
      <c r="W242" s="24">
        <f t="shared" si="57"/>
        <v>0</v>
      </c>
      <c r="X242" s="24">
        <f t="shared" si="57"/>
        <v>0</v>
      </c>
      <c r="Y242" s="24">
        <f t="shared" si="57"/>
        <v>0</v>
      </c>
      <c r="Z242" s="24">
        <f t="shared" si="57"/>
        <v>0</v>
      </c>
      <c r="AA242" s="24">
        <f t="shared" si="57"/>
        <v>0</v>
      </c>
      <c r="AB242" s="24">
        <f t="shared" si="57"/>
        <v>0</v>
      </c>
      <c r="AC242" s="24">
        <f t="shared" si="57"/>
        <v>0</v>
      </c>
      <c r="AD242" s="24">
        <f t="shared" si="57"/>
        <v>0</v>
      </c>
      <c r="AE242" s="24">
        <f t="shared" si="57"/>
        <v>0</v>
      </c>
      <c r="AF242" s="24">
        <f t="shared" si="57"/>
        <v>0</v>
      </c>
      <c r="AG242" s="24">
        <f t="shared" si="57"/>
        <v>0</v>
      </c>
      <c r="AH242" s="24">
        <f t="shared" si="57"/>
        <v>0</v>
      </c>
      <c r="AI242" s="24">
        <f t="shared" si="57"/>
        <v>0</v>
      </c>
      <c r="AJ242" s="24">
        <f t="shared" si="57"/>
        <v>0</v>
      </c>
      <c r="AK242" s="24">
        <f t="shared" si="57"/>
        <v>0</v>
      </c>
      <c r="AL242" s="24">
        <f t="shared" si="57"/>
        <v>0</v>
      </c>
      <c r="AM242" s="24">
        <f t="shared" si="57"/>
        <v>0</v>
      </c>
      <c r="AN242" s="779"/>
    </row>
    <row r="243" spans="1:40" ht="42.75" customHeight="1" thickBot="1">
      <c r="A243" s="806"/>
      <c r="B243" s="738"/>
      <c r="C243" s="805"/>
      <c r="D243" s="771"/>
      <c r="E243" s="777"/>
      <c r="F243" s="116">
        <f>F237+F240</f>
        <v>15100000</v>
      </c>
      <c r="G243" s="36" t="s">
        <v>26</v>
      </c>
      <c r="H243" s="37">
        <f aca="true" t="shared" si="58" ref="H243:AM243">H237+H239+H241</f>
        <v>0</v>
      </c>
      <c r="I243" s="119">
        <f t="shared" si="58"/>
        <v>6100000</v>
      </c>
      <c r="J243" s="29">
        <f t="shared" si="58"/>
        <v>4000000</v>
      </c>
      <c r="K243" s="29">
        <f t="shared" si="58"/>
        <v>5000000</v>
      </c>
      <c r="L243" s="29">
        <f t="shared" si="58"/>
        <v>0</v>
      </c>
      <c r="M243" s="29">
        <f t="shared" si="58"/>
        <v>0</v>
      </c>
      <c r="N243" s="29">
        <f t="shared" si="58"/>
        <v>0</v>
      </c>
      <c r="O243" s="29">
        <f t="shared" si="58"/>
        <v>0</v>
      </c>
      <c r="P243" s="29">
        <f t="shared" si="58"/>
        <v>0</v>
      </c>
      <c r="Q243" s="29">
        <f t="shared" si="58"/>
        <v>0</v>
      </c>
      <c r="R243" s="29">
        <f t="shared" si="58"/>
        <v>0</v>
      </c>
      <c r="S243" s="29">
        <f t="shared" si="58"/>
        <v>0</v>
      </c>
      <c r="T243" s="29">
        <f t="shared" si="58"/>
        <v>0</v>
      </c>
      <c r="U243" s="29">
        <f t="shared" si="58"/>
        <v>0</v>
      </c>
      <c r="V243" s="29">
        <f t="shared" si="58"/>
        <v>0</v>
      </c>
      <c r="W243" s="29">
        <f t="shared" si="58"/>
        <v>0</v>
      </c>
      <c r="X243" s="29">
        <f t="shared" si="58"/>
        <v>0</v>
      </c>
      <c r="Y243" s="29">
        <f t="shared" si="58"/>
        <v>0</v>
      </c>
      <c r="Z243" s="29">
        <f t="shared" si="58"/>
        <v>0</v>
      </c>
      <c r="AA243" s="29">
        <f t="shared" si="58"/>
        <v>0</v>
      </c>
      <c r="AB243" s="29">
        <f t="shared" si="58"/>
        <v>0</v>
      </c>
      <c r="AC243" s="29">
        <f t="shared" si="58"/>
        <v>0</v>
      </c>
      <c r="AD243" s="29">
        <f t="shared" si="58"/>
        <v>0</v>
      </c>
      <c r="AE243" s="29">
        <f t="shared" si="58"/>
        <v>0</v>
      </c>
      <c r="AF243" s="29">
        <f t="shared" si="58"/>
        <v>0</v>
      </c>
      <c r="AG243" s="29">
        <f t="shared" si="58"/>
        <v>0</v>
      </c>
      <c r="AH243" s="29">
        <f t="shared" si="58"/>
        <v>0</v>
      </c>
      <c r="AI243" s="29">
        <f t="shared" si="58"/>
        <v>0</v>
      </c>
      <c r="AJ243" s="29">
        <f t="shared" si="58"/>
        <v>0</v>
      </c>
      <c r="AK243" s="29">
        <f t="shared" si="58"/>
        <v>0</v>
      </c>
      <c r="AL243" s="29">
        <f t="shared" si="58"/>
        <v>0</v>
      </c>
      <c r="AM243" s="29">
        <f t="shared" si="58"/>
        <v>0</v>
      </c>
      <c r="AN243" s="780"/>
    </row>
    <row r="244" spans="1:40" ht="12.75" customHeight="1">
      <c r="A244" s="773">
        <v>30</v>
      </c>
      <c r="B244" s="752" t="s">
        <v>147</v>
      </c>
      <c r="C244" s="804">
        <v>90001</v>
      </c>
      <c r="D244" s="783" t="s">
        <v>164</v>
      </c>
      <c r="E244" s="776">
        <v>2011</v>
      </c>
      <c r="F244" s="8" t="s">
        <v>14</v>
      </c>
      <c r="G244" s="9" t="s">
        <v>15</v>
      </c>
      <c r="H244" s="33"/>
      <c r="I244" s="113"/>
      <c r="J244" s="12"/>
      <c r="K244" s="12"/>
      <c r="L244" s="12"/>
      <c r="M244" s="12"/>
      <c r="N244" s="12"/>
      <c r="O244" s="12"/>
      <c r="P244" s="12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803">
        <f>SUM(J251:AM251)</f>
        <v>500000</v>
      </c>
    </row>
    <row r="245" spans="1:40" ht="12.75">
      <c r="A245" s="774"/>
      <c r="B245" s="737"/>
      <c r="C245" s="782"/>
      <c r="D245" s="784"/>
      <c r="E245" s="776"/>
      <c r="F245" s="746">
        <f>SUM(H250:AM250)</f>
        <v>0</v>
      </c>
      <c r="G245" s="15" t="s">
        <v>16</v>
      </c>
      <c r="H245" s="16">
        <v>0</v>
      </c>
      <c r="I245" s="114">
        <v>5000000</v>
      </c>
      <c r="J245" s="18">
        <v>500000</v>
      </c>
      <c r="K245" s="18"/>
      <c r="L245" s="18"/>
      <c r="M245" s="18"/>
      <c r="N245" s="18"/>
      <c r="O245" s="18"/>
      <c r="P245" s="18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779"/>
    </row>
    <row r="246" spans="1:40" ht="12.75">
      <c r="A246" s="774"/>
      <c r="B246" s="737"/>
      <c r="C246" s="782"/>
      <c r="D246" s="784"/>
      <c r="E246" s="776"/>
      <c r="F246" s="781"/>
      <c r="G246" s="15" t="s">
        <v>17</v>
      </c>
      <c r="H246" s="16"/>
      <c r="I246" s="114"/>
      <c r="J246" s="18"/>
      <c r="K246" s="18"/>
      <c r="L246" s="18"/>
      <c r="M246" s="18"/>
      <c r="N246" s="18"/>
      <c r="O246" s="18"/>
      <c r="P246" s="18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779"/>
    </row>
    <row r="247" spans="1:40" ht="12.75">
      <c r="A247" s="774"/>
      <c r="B247" s="737"/>
      <c r="C247" s="782"/>
      <c r="D247" s="784"/>
      <c r="E247" s="727"/>
      <c r="F247" s="21" t="s">
        <v>18</v>
      </c>
      <c r="G247" s="15" t="s">
        <v>19</v>
      </c>
      <c r="H247" s="16"/>
      <c r="I247" s="114"/>
      <c r="J247" s="18"/>
      <c r="K247" s="18"/>
      <c r="L247" s="18"/>
      <c r="M247" s="18"/>
      <c r="N247" s="18"/>
      <c r="O247" s="18"/>
      <c r="P247" s="18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779"/>
    </row>
    <row r="248" spans="1:40" ht="12.75">
      <c r="A248" s="774"/>
      <c r="B248" s="737"/>
      <c r="C248" s="782"/>
      <c r="D248" s="784"/>
      <c r="E248" s="723">
        <v>2012</v>
      </c>
      <c r="F248" s="746">
        <f>SUM(H251:AM251)</f>
        <v>5500000</v>
      </c>
      <c r="G248" s="15" t="s">
        <v>23</v>
      </c>
      <c r="H248" s="16"/>
      <c r="I248" s="114"/>
      <c r="J248" s="18"/>
      <c r="K248" s="18"/>
      <c r="L248" s="18"/>
      <c r="M248" s="18"/>
      <c r="N248" s="18"/>
      <c r="O248" s="18"/>
      <c r="P248" s="18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8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779"/>
    </row>
    <row r="249" spans="1:40" ht="12.75">
      <c r="A249" s="774"/>
      <c r="B249" s="737"/>
      <c r="C249" s="782"/>
      <c r="D249" s="784"/>
      <c r="E249" s="776"/>
      <c r="F249" s="781"/>
      <c r="G249" s="15" t="s">
        <v>24</v>
      </c>
      <c r="H249" s="16"/>
      <c r="I249" s="114"/>
      <c r="J249" s="18"/>
      <c r="K249" s="18"/>
      <c r="L249" s="18"/>
      <c r="M249" s="18"/>
      <c r="N249" s="18"/>
      <c r="O249" s="18"/>
      <c r="P249" s="18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8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779"/>
    </row>
    <row r="250" spans="1:40" ht="12.75">
      <c r="A250" s="774"/>
      <c r="B250" s="737"/>
      <c r="C250" s="782"/>
      <c r="D250" s="784"/>
      <c r="E250" s="776"/>
      <c r="F250" s="21" t="s">
        <v>22</v>
      </c>
      <c r="G250" s="15" t="s">
        <v>25</v>
      </c>
      <c r="H250" s="22">
        <f aca="true" t="shared" si="59" ref="H250:AM250">H244+H246+H248</f>
        <v>0</v>
      </c>
      <c r="I250" s="115">
        <f t="shared" si="59"/>
        <v>0</v>
      </c>
      <c r="J250" s="24">
        <f t="shared" si="59"/>
        <v>0</v>
      </c>
      <c r="K250" s="24">
        <f t="shared" si="59"/>
        <v>0</v>
      </c>
      <c r="L250" s="24">
        <f t="shared" si="59"/>
        <v>0</v>
      </c>
      <c r="M250" s="24">
        <f t="shared" si="59"/>
        <v>0</v>
      </c>
      <c r="N250" s="24">
        <f t="shared" si="59"/>
        <v>0</v>
      </c>
      <c r="O250" s="24">
        <f t="shared" si="59"/>
        <v>0</v>
      </c>
      <c r="P250" s="24">
        <f t="shared" si="59"/>
        <v>0</v>
      </c>
      <c r="Q250" s="24">
        <f t="shared" si="59"/>
        <v>0</v>
      </c>
      <c r="R250" s="24">
        <f t="shared" si="59"/>
        <v>0</v>
      </c>
      <c r="S250" s="24">
        <f t="shared" si="59"/>
        <v>0</v>
      </c>
      <c r="T250" s="24">
        <f t="shared" si="59"/>
        <v>0</v>
      </c>
      <c r="U250" s="24">
        <f t="shared" si="59"/>
        <v>0</v>
      </c>
      <c r="V250" s="24">
        <f t="shared" si="59"/>
        <v>0</v>
      </c>
      <c r="W250" s="24">
        <f t="shared" si="59"/>
        <v>0</v>
      </c>
      <c r="X250" s="24">
        <f t="shared" si="59"/>
        <v>0</v>
      </c>
      <c r="Y250" s="24">
        <f t="shared" si="59"/>
        <v>0</v>
      </c>
      <c r="Z250" s="24">
        <f t="shared" si="59"/>
        <v>0</v>
      </c>
      <c r="AA250" s="24">
        <f t="shared" si="59"/>
        <v>0</v>
      </c>
      <c r="AB250" s="24">
        <f t="shared" si="59"/>
        <v>0</v>
      </c>
      <c r="AC250" s="24">
        <f t="shared" si="59"/>
        <v>0</v>
      </c>
      <c r="AD250" s="24">
        <f t="shared" si="59"/>
        <v>0</v>
      </c>
      <c r="AE250" s="24">
        <f t="shared" si="59"/>
        <v>0</v>
      </c>
      <c r="AF250" s="24">
        <f t="shared" si="59"/>
        <v>0</v>
      </c>
      <c r="AG250" s="24">
        <f t="shared" si="59"/>
        <v>0</v>
      </c>
      <c r="AH250" s="24">
        <f t="shared" si="59"/>
        <v>0</v>
      </c>
      <c r="AI250" s="24">
        <f t="shared" si="59"/>
        <v>0</v>
      </c>
      <c r="AJ250" s="24">
        <f t="shared" si="59"/>
        <v>0</v>
      </c>
      <c r="AK250" s="24">
        <f t="shared" si="59"/>
        <v>0</v>
      </c>
      <c r="AL250" s="24">
        <f t="shared" si="59"/>
        <v>0</v>
      </c>
      <c r="AM250" s="24">
        <f t="shared" si="59"/>
        <v>0</v>
      </c>
      <c r="AN250" s="779"/>
    </row>
    <row r="251" spans="1:40" ht="13.5" thickBot="1">
      <c r="A251" s="806"/>
      <c r="B251" s="738"/>
      <c r="C251" s="805"/>
      <c r="D251" s="784"/>
      <c r="E251" s="777"/>
      <c r="F251" s="116">
        <f>F245+F248</f>
        <v>5500000</v>
      </c>
      <c r="G251" s="36" t="s">
        <v>26</v>
      </c>
      <c r="H251" s="37">
        <f aca="true" t="shared" si="60" ref="H251:AM251">H245+H247+H249</f>
        <v>0</v>
      </c>
      <c r="I251" s="119">
        <f t="shared" si="60"/>
        <v>5000000</v>
      </c>
      <c r="J251" s="29">
        <f t="shared" si="60"/>
        <v>500000</v>
      </c>
      <c r="K251" s="29">
        <f t="shared" si="60"/>
        <v>0</v>
      </c>
      <c r="L251" s="29">
        <f t="shared" si="60"/>
        <v>0</v>
      </c>
      <c r="M251" s="29">
        <f t="shared" si="60"/>
        <v>0</v>
      </c>
      <c r="N251" s="29">
        <f t="shared" si="60"/>
        <v>0</v>
      </c>
      <c r="O251" s="29">
        <f t="shared" si="60"/>
        <v>0</v>
      </c>
      <c r="P251" s="29">
        <f t="shared" si="60"/>
        <v>0</v>
      </c>
      <c r="Q251" s="29">
        <f t="shared" si="60"/>
        <v>0</v>
      </c>
      <c r="R251" s="29">
        <f t="shared" si="60"/>
        <v>0</v>
      </c>
      <c r="S251" s="29">
        <f t="shared" si="60"/>
        <v>0</v>
      </c>
      <c r="T251" s="29">
        <f t="shared" si="60"/>
        <v>0</v>
      </c>
      <c r="U251" s="29">
        <f t="shared" si="60"/>
        <v>0</v>
      </c>
      <c r="V251" s="29">
        <f t="shared" si="60"/>
        <v>0</v>
      </c>
      <c r="W251" s="29">
        <f t="shared" si="60"/>
        <v>0</v>
      </c>
      <c r="X251" s="29">
        <f t="shared" si="60"/>
        <v>0</v>
      </c>
      <c r="Y251" s="29">
        <f t="shared" si="60"/>
        <v>0</v>
      </c>
      <c r="Z251" s="29">
        <f t="shared" si="60"/>
        <v>0</v>
      </c>
      <c r="AA251" s="29">
        <f t="shared" si="60"/>
        <v>0</v>
      </c>
      <c r="AB251" s="29">
        <f t="shared" si="60"/>
        <v>0</v>
      </c>
      <c r="AC251" s="30">
        <f t="shared" si="60"/>
        <v>0</v>
      </c>
      <c r="AD251" s="30">
        <f t="shared" si="60"/>
        <v>0</v>
      </c>
      <c r="AE251" s="30">
        <f t="shared" si="60"/>
        <v>0</v>
      </c>
      <c r="AF251" s="30">
        <f t="shared" si="60"/>
        <v>0</v>
      </c>
      <c r="AG251" s="30">
        <f t="shared" si="60"/>
        <v>0</v>
      </c>
      <c r="AH251" s="30">
        <f t="shared" si="60"/>
        <v>0</v>
      </c>
      <c r="AI251" s="30">
        <f t="shared" si="60"/>
        <v>0</v>
      </c>
      <c r="AJ251" s="30">
        <f t="shared" si="60"/>
        <v>0</v>
      </c>
      <c r="AK251" s="30">
        <f t="shared" si="60"/>
        <v>0</v>
      </c>
      <c r="AL251" s="30">
        <f t="shared" si="60"/>
        <v>0</v>
      </c>
      <c r="AM251" s="30">
        <f t="shared" si="60"/>
        <v>0</v>
      </c>
      <c r="AN251" s="780"/>
    </row>
    <row r="252" spans="1:40" ht="12.75" customHeight="1">
      <c r="A252" s="774">
        <v>31</v>
      </c>
      <c r="B252" s="737" t="s">
        <v>135</v>
      </c>
      <c r="C252" s="782">
        <v>90001</v>
      </c>
      <c r="D252" s="783" t="s">
        <v>164</v>
      </c>
      <c r="E252" s="776"/>
      <c r="F252" s="20" t="s">
        <v>14</v>
      </c>
      <c r="G252" s="9" t="s">
        <v>15</v>
      </c>
      <c r="H252" s="10"/>
      <c r="I252" s="113"/>
      <c r="J252" s="12"/>
      <c r="K252" s="12"/>
      <c r="L252" s="12"/>
      <c r="M252" s="12"/>
      <c r="N252" s="12"/>
      <c r="O252" s="12"/>
      <c r="P252" s="12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803">
        <f>SUM(J259:AM259)</f>
        <v>600000</v>
      </c>
    </row>
    <row r="253" spans="1:40" ht="12.75">
      <c r="A253" s="774"/>
      <c r="B253" s="737"/>
      <c r="C253" s="782"/>
      <c r="D253" s="784"/>
      <c r="E253" s="776"/>
      <c r="F253" s="746">
        <f>SUM(H258:AM258)</f>
        <v>0</v>
      </c>
      <c r="G253" s="15" t="s">
        <v>16</v>
      </c>
      <c r="H253" s="16"/>
      <c r="I253" s="114">
        <v>900000</v>
      </c>
      <c r="J253" s="18">
        <v>100000</v>
      </c>
      <c r="K253" s="18">
        <v>500000</v>
      </c>
      <c r="L253" s="18"/>
      <c r="M253" s="18"/>
      <c r="N253" s="18"/>
      <c r="O253" s="18"/>
      <c r="P253" s="18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779"/>
    </row>
    <row r="254" spans="1:40" ht="12.75">
      <c r="A254" s="774"/>
      <c r="B254" s="737"/>
      <c r="C254" s="782"/>
      <c r="D254" s="784"/>
      <c r="E254" s="776"/>
      <c r="F254" s="781"/>
      <c r="G254" s="15" t="s">
        <v>17</v>
      </c>
      <c r="H254" s="16"/>
      <c r="I254" s="114"/>
      <c r="J254" s="18"/>
      <c r="K254" s="18"/>
      <c r="L254" s="18"/>
      <c r="M254" s="18"/>
      <c r="N254" s="18"/>
      <c r="O254" s="18"/>
      <c r="P254" s="18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779"/>
    </row>
    <row r="255" spans="1:40" ht="12.75">
      <c r="A255" s="774"/>
      <c r="B255" s="737"/>
      <c r="C255" s="782"/>
      <c r="D255" s="784"/>
      <c r="E255" s="727"/>
      <c r="F255" s="21" t="s">
        <v>18</v>
      </c>
      <c r="G255" s="15" t="s">
        <v>19</v>
      </c>
      <c r="H255" s="16"/>
      <c r="I255" s="114"/>
      <c r="J255" s="18"/>
      <c r="K255" s="18"/>
      <c r="L255" s="18"/>
      <c r="M255" s="18"/>
      <c r="N255" s="18"/>
      <c r="O255" s="18"/>
      <c r="P255" s="18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779"/>
    </row>
    <row r="256" spans="1:40" ht="12.75">
      <c r="A256" s="774"/>
      <c r="B256" s="737"/>
      <c r="C256" s="782"/>
      <c r="D256" s="784"/>
      <c r="E256" s="723"/>
      <c r="F256" s="746">
        <f>SUM(H259:AM259)</f>
        <v>1500000</v>
      </c>
      <c r="G256" s="15" t="s">
        <v>23</v>
      </c>
      <c r="H256" s="16"/>
      <c r="I256" s="114"/>
      <c r="J256" s="18"/>
      <c r="K256" s="18"/>
      <c r="L256" s="18"/>
      <c r="M256" s="18"/>
      <c r="N256" s="18"/>
      <c r="O256" s="18"/>
      <c r="P256" s="18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779"/>
    </row>
    <row r="257" spans="1:40" ht="12.75">
      <c r="A257" s="774"/>
      <c r="B257" s="737"/>
      <c r="C257" s="782"/>
      <c r="D257" s="784"/>
      <c r="E257" s="776"/>
      <c r="F257" s="781"/>
      <c r="G257" s="15" t="s">
        <v>24</v>
      </c>
      <c r="H257" s="16"/>
      <c r="I257" s="114"/>
      <c r="J257" s="18"/>
      <c r="K257" s="18"/>
      <c r="L257" s="18"/>
      <c r="M257" s="18"/>
      <c r="N257" s="18"/>
      <c r="O257" s="18"/>
      <c r="P257" s="18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779"/>
    </row>
    <row r="258" spans="1:40" ht="12.75">
      <c r="A258" s="774"/>
      <c r="B258" s="737"/>
      <c r="C258" s="782"/>
      <c r="D258" s="784"/>
      <c r="E258" s="776"/>
      <c r="F258" s="21" t="s">
        <v>22</v>
      </c>
      <c r="G258" s="15" t="s">
        <v>25</v>
      </c>
      <c r="H258" s="22">
        <f aca="true" t="shared" si="61" ref="H258:AM258">H252+H254+H256</f>
        <v>0</v>
      </c>
      <c r="I258" s="115">
        <f t="shared" si="61"/>
        <v>0</v>
      </c>
      <c r="J258" s="24">
        <f t="shared" si="61"/>
        <v>0</v>
      </c>
      <c r="K258" s="24">
        <f t="shared" si="61"/>
        <v>0</v>
      </c>
      <c r="L258" s="24">
        <f t="shared" si="61"/>
        <v>0</v>
      </c>
      <c r="M258" s="24">
        <f t="shared" si="61"/>
        <v>0</v>
      </c>
      <c r="N258" s="24">
        <f t="shared" si="61"/>
        <v>0</v>
      </c>
      <c r="O258" s="24">
        <f t="shared" si="61"/>
        <v>0</v>
      </c>
      <c r="P258" s="24">
        <f t="shared" si="61"/>
        <v>0</v>
      </c>
      <c r="Q258" s="24">
        <f t="shared" si="61"/>
        <v>0</v>
      </c>
      <c r="R258" s="24">
        <f t="shared" si="61"/>
        <v>0</v>
      </c>
      <c r="S258" s="24">
        <f t="shared" si="61"/>
        <v>0</v>
      </c>
      <c r="T258" s="24">
        <f t="shared" si="61"/>
        <v>0</v>
      </c>
      <c r="U258" s="24">
        <f t="shared" si="61"/>
        <v>0</v>
      </c>
      <c r="V258" s="24">
        <f t="shared" si="61"/>
        <v>0</v>
      </c>
      <c r="W258" s="24">
        <f t="shared" si="61"/>
        <v>0</v>
      </c>
      <c r="X258" s="24">
        <f t="shared" si="61"/>
        <v>0</v>
      </c>
      <c r="Y258" s="24">
        <f t="shared" si="61"/>
        <v>0</v>
      </c>
      <c r="Z258" s="24">
        <f t="shared" si="61"/>
        <v>0</v>
      </c>
      <c r="AA258" s="24">
        <f t="shared" si="61"/>
        <v>0</v>
      </c>
      <c r="AB258" s="24">
        <f t="shared" si="61"/>
        <v>0</v>
      </c>
      <c r="AC258" s="24">
        <f t="shared" si="61"/>
        <v>0</v>
      </c>
      <c r="AD258" s="24">
        <f t="shared" si="61"/>
        <v>0</v>
      </c>
      <c r="AE258" s="24">
        <f t="shared" si="61"/>
        <v>0</v>
      </c>
      <c r="AF258" s="24">
        <f t="shared" si="61"/>
        <v>0</v>
      </c>
      <c r="AG258" s="24">
        <f t="shared" si="61"/>
        <v>0</v>
      </c>
      <c r="AH258" s="24">
        <f t="shared" si="61"/>
        <v>0</v>
      </c>
      <c r="AI258" s="24">
        <f t="shared" si="61"/>
        <v>0</v>
      </c>
      <c r="AJ258" s="24">
        <f t="shared" si="61"/>
        <v>0</v>
      </c>
      <c r="AK258" s="24">
        <f t="shared" si="61"/>
        <v>0</v>
      </c>
      <c r="AL258" s="24">
        <f t="shared" si="61"/>
        <v>0</v>
      </c>
      <c r="AM258" s="24">
        <f t="shared" si="61"/>
        <v>0</v>
      </c>
      <c r="AN258" s="779"/>
    </row>
    <row r="259" spans="1:40" ht="13.5" thickBot="1">
      <c r="A259" s="774"/>
      <c r="B259" s="737"/>
      <c r="C259" s="782"/>
      <c r="D259" s="784"/>
      <c r="E259" s="776"/>
      <c r="F259" s="116">
        <f>F253+F256</f>
        <v>1500000</v>
      </c>
      <c r="G259" s="26" t="s">
        <v>26</v>
      </c>
      <c r="H259" s="37">
        <f aca="true" t="shared" si="62" ref="H259:AM259">H253+H255+H257</f>
        <v>0</v>
      </c>
      <c r="I259" s="117">
        <f t="shared" si="62"/>
        <v>900000</v>
      </c>
      <c r="J259" s="30">
        <f t="shared" si="62"/>
        <v>100000</v>
      </c>
      <c r="K259" s="30">
        <f t="shared" si="62"/>
        <v>500000</v>
      </c>
      <c r="L259" s="30">
        <f t="shared" si="62"/>
        <v>0</v>
      </c>
      <c r="M259" s="30">
        <f t="shared" si="62"/>
        <v>0</v>
      </c>
      <c r="N259" s="30">
        <f t="shared" si="62"/>
        <v>0</v>
      </c>
      <c r="O259" s="30">
        <f t="shared" si="62"/>
        <v>0</v>
      </c>
      <c r="P259" s="30">
        <f t="shared" si="62"/>
        <v>0</v>
      </c>
      <c r="Q259" s="30">
        <f t="shared" si="62"/>
        <v>0</v>
      </c>
      <c r="R259" s="30">
        <f t="shared" si="62"/>
        <v>0</v>
      </c>
      <c r="S259" s="30">
        <f t="shared" si="62"/>
        <v>0</v>
      </c>
      <c r="T259" s="30">
        <f t="shared" si="62"/>
        <v>0</v>
      </c>
      <c r="U259" s="30">
        <f t="shared" si="62"/>
        <v>0</v>
      </c>
      <c r="V259" s="30">
        <f t="shared" si="62"/>
        <v>0</v>
      </c>
      <c r="W259" s="30">
        <f t="shared" si="62"/>
        <v>0</v>
      </c>
      <c r="X259" s="30">
        <f t="shared" si="62"/>
        <v>0</v>
      </c>
      <c r="Y259" s="30">
        <f t="shared" si="62"/>
        <v>0</v>
      </c>
      <c r="Z259" s="30">
        <f t="shared" si="62"/>
        <v>0</v>
      </c>
      <c r="AA259" s="30">
        <f t="shared" si="62"/>
        <v>0</v>
      </c>
      <c r="AB259" s="30">
        <f t="shared" si="62"/>
        <v>0</v>
      </c>
      <c r="AC259" s="30">
        <f t="shared" si="62"/>
        <v>0</v>
      </c>
      <c r="AD259" s="30">
        <f t="shared" si="62"/>
        <v>0</v>
      </c>
      <c r="AE259" s="30">
        <f t="shared" si="62"/>
        <v>0</v>
      </c>
      <c r="AF259" s="30">
        <f t="shared" si="62"/>
        <v>0</v>
      </c>
      <c r="AG259" s="30">
        <f t="shared" si="62"/>
        <v>0</v>
      </c>
      <c r="AH259" s="30">
        <f t="shared" si="62"/>
        <v>0</v>
      </c>
      <c r="AI259" s="30">
        <f t="shared" si="62"/>
        <v>0</v>
      </c>
      <c r="AJ259" s="30">
        <f t="shared" si="62"/>
        <v>0</v>
      </c>
      <c r="AK259" s="30">
        <f t="shared" si="62"/>
        <v>0</v>
      </c>
      <c r="AL259" s="30">
        <f t="shared" si="62"/>
        <v>0</v>
      </c>
      <c r="AM259" s="30">
        <f t="shared" si="62"/>
        <v>0</v>
      </c>
      <c r="AN259" s="780"/>
    </row>
    <row r="260" spans="1:40" ht="12.75" customHeight="1">
      <c r="A260" s="773">
        <v>32</v>
      </c>
      <c r="B260" s="752" t="s">
        <v>148</v>
      </c>
      <c r="C260" s="804">
        <v>90001</v>
      </c>
      <c r="D260" s="783" t="s">
        <v>164</v>
      </c>
      <c r="E260" s="775"/>
      <c r="F260" s="8" t="s">
        <v>14</v>
      </c>
      <c r="G260" s="32" t="s">
        <v>15</v>
      </c>
      <c r="H260" s="33"/>
      <c r="I260" s="118"/>
      <c r="J260" s="34"/>
      <c r="K260" s="34"/>
      <c r="L260" s="34"/>
      <c r="M260" s="34"/>
      <c r="N260" s="34"/>
      <c r="O260" s="34"/>
      <c r="P260" s="34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803">
        <f>SUM(J267:AM267)</f>
        <v>200000</v>
      </c>
    </row>
    <row r="261" spans="1:40" ht="12.75">
      <c r="A261" s="774"/>
      <c r="B261" s="737"/>
      <c r="C261" s="782"/>
      <c r="D261" s="784"/>
      <c r="E261" s="776"/>
      <c r="F261" s="746">
        <f>SUM(H266:AM266)</f>
        <v>0</v>
      </c>
      <c r="G261" s="15" t="s">
        <v>16</v>
      </c>
      <c r="H261" s="16"/>
      <c r="I261" s="114">
        <v>100000</v>
      </c>
      <c r="J261" s="18">
        <v>100000</v>
      </c>
      <c r="K261" s="18">
        <v>100000</v>
      </c>
      <c r="L261" s="18"/>
      <c r="M261" s="18"/>
      <c r="N261" s="18"/>
      <c r="O261" s="18"/>
      <c r="P261" s="18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779"/>
    </row>
    <row r="262" spans="1:40" ht="12.75">
      <c r="A262" s="774"/>
      <c r="B262" s="737"/>
      <c r="C262" s="782"/>
      <c r="D262" s="784"/>
      <c r="E262" s="776"/>
      <c r="F262" s="781"/>
      <c r="G262" s="15" t="s">
        <v>17</v>
      </c>
      <c r="H262" s="16"/>
      <c r="I262" s="114"/>
      <c r="J262" s="18"/>
      <c r="K262" s="18"/>
      <c r="L262" s="18"/>
      <c r="M262" s="18"/>
      <c r="N262" s="18"/>
      <c r="O262" s="18"/>
      <c r="P262" s="18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779"/>
    </row>
    <row r="263" spans="1:40" ht="12.75">
      <c r="A263" s="774"/>
      <c r="B263" s="737"/>
      <c r="C263" s="782"/>
      <c r="D263" s="784"/>
      <c r="E263" s="727"/>
      <c r="F263" s="21" t="s">
        <v>18</v>
      </c>
      <c r="G263" s="15" t="s">
        <v>19</v>
      </c>
      <c r="H263" s="16"/>
      <c r="I263" s="114"/>
      <c r="J263" s="18"/>
      <c r="K263" s="18"/>
      <c r="L263" s="18"/>
      <c r="M263" s="18"/>
      <c r="N263" s="18"/>
      <c r="O263" s="18"/>
      <c r="P263" s="18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779"/>
    </row>
    <row r="264" spans="1:40" ht="12.75">
      <c r="A264" s="774"/>
      <c r="B264" s="737"/>
      <c r="C264" s="782"/>
      <c r="D264" s="784"/>
      <c r="E264" s="723"/>
      <c r="F264" s="746">
        <f>SUM(H267:AM267)</f>
        <v>300000</v>
      </c>
      <c r="G264" s="15" t="s">
        <v>23</v>
      </c>
      <c r="H264" s="16"/>
      <c r="I264" s="114"/>
      <c r="J264" s="18"/>
      <c r="K264" s="18"/>
      <c r="L264" s="18"/>
      <c r="M264" s="18"/>
      <c r="N264" s="18"/>
      <c r="O264" s="18"/>
      <c r="P264" s="18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779"/>
    </row>
    <row r="265" spans="1:40" ht="12.75">
      <c r="A265" s="774"/>
      <c r="B265" s="737"/>
      <c r="C265" s="782"/>
      <c r="D265" s="784"/>
      <c r="E265" s="776"/>
      <c r="F265" s="781"/>
      <c r="G265" s="15" t="s">
        <v>24</v>
      </c>
      <c r="H265" s="16"/>
      <c r="I265" s="114"/>
      <c r="J265" s="18"/>
      <c r="K265" s="18"/>
      <c r="L265" s="18"/>
      <c r="M265" s="18"/>
      <c r="N265" s="18"/>
      <c r="O265" s="18"/>
      <c r="P265" s="18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779"/>
    </row>
    <row r="266" spans="1:40" ht="12.75">
      <c r="A266" s="774"/>
      <c r="B266" s="737"/>
      <c r="C266" s="782"/>
      <c r="D266" s="784"/>
      <c r="E266" s="776"/>
      <c r="F266" s="21" t="s">
        <v>22</v>
      </c>
      <c r="G266" s="15" t="s">
        <v>25</v>
      </c>
      <c r="H266" s="22">
        <f aca="true" t="shared" si="63" ref="H266:AM266">H260+H262+H264</f>
        <v>0</v>
      </c>
      <c r="I266" s="115">
        <f t="shared" si="63"/>
        <v>0</v>
      </c>
      <c r="J266" s="24">
        <f t="shared" si="63"/>
        <v>0</v>
      </c>
      <c r="K266" s="24">
        <f t="shared" si="63"/>
        <v>0</v>
      </c>
      <c r="L266" s="24">
        <f t="shared" si="63"/>
        <v>0</v>
      </c>
      <c r="M266" s="24">
        <f t="shared" si="63"/>
        <v>0</v>
      </c>
      <c r="N266" s="24">
        <f t="shared" si="63"/>
        <v>0</v>
      </c>
      <c r="O266" s="24">
        <f t="shared" si="63"/>
        <v>0</v>
      </c>
      <c r="P266" s="24">
        <f t="shared" si="63"/>
        <v>0</v>
      </c>
      <c r="Q266" s="24">
        <f t="shared" si="63"/>
        <v>0</v>
      </c>
      <c r="R266" s="24">
        <f t="shared" si="63"/>
        <v>0</v>
      </c>
      <c r="S266" s="24">
        <f t="shared" si="63"/>
        <v>0</v>
      </c>
      <c r="T266" s="24">
        <f t="shared" si="63"/>
        <v>0</v>
      </c>
      <c r="U266" s="24">
        <f t="shared" si="63"/>
        <v>0</v>
      </c>
      <c r="V266" s="24">
        <f t="shared" si="63"/>
        <v>0</v>
      </c>
      <c r="W266" s="24">
        <f t="shared" si="63"/>
        <v>0</v>
      </c>
      <c r="X266" s="24">
        <f t="shared" si="63"/>
        <v>0</v>
      </c>
      <c r="Y266" s="24">
        <f t="shared" si="63"/>
        <v>0</v>
      </c>
      <c r="Z266" s="24">
        <f t="shared" si="63"/>
        <v>0</v>
      </c>
      <c r="AA266" s="24">
        <f t="shared" si="63"/>
        <v>0</v>
      </c>
      <c r="AB266" s="24">
        <f t="shared" si="63"/>
        <v>0</v>
      </c>
      <c r="AC266" s="24">
        <f t="shared" si="63"/>
        <v>0</v>
      </c>
      <c r="AD266" s="24">
        <f t="shared" si="63"/>
        <v>0</v>
      </c>
      <c r="AE266" s="24">
        <f t="shared" si="63"/>
        <v>0</v>
      </c>
      <c r="AF266" s="24">
        <f t="shared" si="63"/>
        <v>0</v>
      </c>
      <c r="AG266" s="24">
        <f t="shared" si="63"/>
        <v>0</v>
      </c>
      <c r="AH266" s="24">
        <f t="shared" si="63"/>
        <v>0</v>
      </c>
      <c r="AI266" s="24">
        <f t="shared" si="63"/>
        <v>0</v>
      </c>
      <c r="AJ266" s="24">
        <f t="shared" si="63"/>
        <v>0</v>
      </c>
      <c r="AK266" s="24">
        <f t="shared" si="63"/>
        <v>0</v>
      </c>
      <c r="AL266" s="24">
        <f t="shared" si="63"/>
        <v>0</v>
      </c>
      <c r="AM266" s="24">
        <f t="shared" si="63"/>
        <v>0</v>
      </c>
      <c r="AN266" s="779"/>
    </row>
    <row r="267" spans="1:40" ht="20.25" customHeight="1" thickBot="1">
      <c r="A267" s="806"/>
      <c r="B267" s="738"/>
      <c r="C267" s="805"/>
      <c r="D267" s="771"/>
      <c r="E267" s="777"/>
      <c r="F267" s="116">
        <f>F261+F264</f>
        <v>300000</v>
      </c>
      <c r="G267" s="36" t="s">
        <v>26</v>
      </c>
      <c r="H267" s="37">
        <f aca="true" t="shared" si="64" ref="H267:AM267">H261+H263+H265</f>
        <v>0</v>
      </c>
      <c r="I267" s="119">
        <f t="shared" si="64"/>
        <v>100000</v>
      </c>
      <c r="J267" s="29">
        <f t="shared" si="64"/>
        <v>100000</v>
      </c>
      <c r="K267" s="29">
        <f t="shared" si="64"/>
        <v>100000</v>
      </c>
      <c r="L267" s="29">
        <f t="shared" si="64"/>
        <v>0</v>
      </c>
      <c r="M267" s="29">
        <f t="shared" si="64"/>
        <v>0</v>
      </c>
      <c r="N267" s="29">
        <f t="shared" si="64"/>
        <v>0</v>
      </c>
      <c r="O267" s="29">
        <f t="shared" si="64"/>
        <v>0</v>
      </c>
      <c r="P267" s="29">
        <f t="shared" si="64"/>
        <v>0</v>
      </c>
      <c r="Q267" s="29">
        <f t="shared" si="64"/>
        <v>0</v>
      </c>
      <c r="R267" s="29">
        <f t="shared" si="64"/>
        <v>0</v>
      </c>
      <c r="S267" s="29">
        <f t="shared" si="64"/>
        <v>0</v>
      </c>
      <c r="T267" s="29">
        <f t="shared" si="64"/>
        <v>0</v>
      </c>
      <c r="U267" s="29">
        <f t="shared" si="64"/>
        <v>0</v>
      </c>
      <c r="V267" s="29">
        <f t="shared" si="64"/>
        <v>0</v>
      </c>
      <c r="W267" s="29">
        <f t="shared" si="64"/>
        <v>0</v>
      </c>
      <c r="X267" s="29">
        <f t="shared" si="64"/>
        <v>0</v>
      </c>
      <c r="Y267" s="29">
        <f t="shared" si="64"/>
        <v>0</v>
      </c>
      <c r="Z267" s="29">
        <f t="shared" si="64"/>
        <v>0</v>
      </c>
      <c r="AA267" s="29">
        <f t="shared" si="64"/>
        <v>0</v>
      </c>
      <c r="AB267" s="29">
        <f t="shared" si="64"/>
        <v>0</v>
      </c>
      <c r="AC267" s="29">
        <f t="shared" si="64"/>
        <v>0</v>
      </c>
      <c r="AD267" s="29">
        <f t="shared" si="64"/>
        <v>0</v>
      </c>
      <c r="AE267" s="29">
        <f t="shared" si="64"/>
        <v>0</v>
      </c>
      <c r="AF267" s="29">
        <f t="shared" si="64"/>
        <v>0</v>
      </c>
      <c r="AG267" s="29">
        <f t="shared" si="64"/>
        <v>0</v>
      </c>
      <c r="AH267" s="29">
        <f t="shared" si="64"/>
        <v>0</v>
      </c>
      <c r="AI267" s="29">
        <f t="shared" si="64"/>
        <v>0</v>
      </c>
      <c r="AJ267" s="29">
        <f t="shared" si="64"/>
        <v>0</v>
      </c>
      <c r="AK267" s="29">
        <f t="shared" si="64"/>
        <v>0</v>
      </c>
      <c r="AL267" s="29">
        <f t="shared" si="64"/>
        <v>0</v>
      </c>
      <c r="AM267" s="29">
        <f t="shared" si="64"/>
        <v>0</v>
      </c>
      <c r="AN267" s="780"/>
    </row>
    <row r="268" spans="1:40" ht="12.75" customHeight="1">
      <c r="A268" s="773">
        <v>33</v>
      </c>
      <c r="B268" s="807" t="s">
        <v>165</v>
      </c>
      <c r="C268" s="804">
        <v>90004</v>
      </c>
      <c r="D268" s="783" t="s">
        <v>164</v>
      </c>
      <c r="E268" s="776">
        <v>2010</v>
      </c>
      <c r="F268" s="8" t="s">
        <v>14</v>
      </c>
      <c r="G268" s="9" t="s">
        <v>15</v>
      </c>
      <c r="H268" s="33"/>
      <c r="I268" s="113"/>
      <c r="J268" s="12"/>
      <c r="K268" s="12"/>
      <c r="L268" s="12"/>
      <c r="M268" s="12"/>
      <c r="N268" s="12"/>
      <c r="O268" s="12"/>
      <c r="P268" s="12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803">
        <f>SUM(J275:AM275)</f>
        <v>5597786</v>
      </c>
    </row>
    <row r="269" spans="1:40" ht="12.75">
      <c r="A269" s="774"/>
      <c r="B269" s="808"/>
      <c r="C269" s="782"/>
      <c r="D269" s="784"/>
      <c r="E269" s="776"/>
      <c r="F269" s="746">
        <f>SUM(H274:AM274)</f>
        <v>0</v>
      </c>
      <c r="G269" s="15" t="s">
        <v>16</v>
      </c>
      <c r="H269" s="16">
        <v>103334</v>
      </c>
      <c r="I269" s="114">
        <f>1000000+61736</f>
        <v>1061736</v>
      </c>
      <c r="J269" s="18">
        <f>2000000+1597786</f>
        <v>3597786</v>
      </c>
      <c r="K269" s="18">
        <v>2000000</v>
      </c>
      <c r="L269" s="18"/>
      <c r="M269" s="18"/>
      <c r="N269" s="18"/>
      <c r="O269" s="18"/>
      <c r="P269" s="18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779"/>
    </row>
    <row r="270" spans="1:40" ht="12.75">
      <c r="A270" s="774"/>
      <c r="B270" s="808"/>
      <c r="C270" s="782"/>
      <c r="D270" s="784"/>
      <c r="E270" s="776"/>
      <c r="F270" s="781"/>
      <c r="G270" s="15" t="s">
        <v>17</v>
      </c>
      <c r="H270" s="16"/>
      <c r="I270" s="114"/>
      <c r="J270" s="18"/>
      <c r="K270" s="18"/>
      <c r="L270" s="18"/>
      <c r="M270" s="18"/>
      <c r="N270" s="18"/>
      <c r="O270" s="18"/>
      <c r="P270" s="18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779"/>
    </row>
    <row r="271" spans="1:40" ht="12.75">
      <c r="A271" s="774"/>
      <c r="B271" s="808"/>
      <c r="C271" s="782"/>
      <c r="D271" s="784"/>
      <c r="E271" s="727"/>
      <c r="F271" s="21" t="s">
        <v>18</v>
      </c>
      <c r="G271" s="15" t="s">
        <v>19</v>
      </c>
      <c r="H271" s="16"/>
      <c r="I271" s="114"/>
      <c r="J271" s="18"/>
      <c r="K271" s="18"/>
      <c r="L271" s="18"/>
      <c r="M271" s="18"/>
      <c r="N271" s="18"/>
      <c r="O271" s="18"/>
      <c r="P271" s="18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779"/>
    </row>
    <row r="272" spans="1:40" ht="12.75">
      <c r="A272" s="774"/>
      <c r="B272" s="808"/>
      <c r="C272" s="782"/>
      <c r="D272" s="784"/>
      <c r="E272" s="723">
        <v>2013</v>
      </c>
      <c r="F272" s="746">
        <f>SUM(H275:AM275)</f>
        <v>6762856</v>
      </c>
      <c r="G272" s="15" t="s">
        <v>23</v>
      </c>
      <c r="H272" s="16"/>
      <c r="I272" s="114"/>
      <c r="J272" s="18"/>
      <c r="K272" s="18"/>
      <c r="L272" s="18"/>
      <c r="M272" s="18"/>
      <c r="N272" s="18"/>
      <c r="O272" s="18"/>
      <c r="P272" s="18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8"/>
      <c r="AG272" s="19"/>
      <c r="AH272" s="19"/>
      <c r="AI272" s="19"/>
      <c r="AJ272" s="19"/>
      <c r="AK272" s="19"/>
      <c r="AL272" s="19"/>
      <c r="AM272" s="19"/>
      <c r="AN272" s="779"/>
    </row>
    <row r="273" spans="1:40" ht="12.75">
      <c r="A273" s="774"/>
      <c r="B273" s="808"/>
      <c r="C273" s="782"/>
      <c r="D273" s="784"/>
      <c r="E273" s="776"/>
      <c r="F273" s="781"/>
      <c r="G273" s="15" t="s">
        <v>24</v>
      </c>
      <c r="H273" s="16"/>
      <c r="I273" s="114"/>
      <c r="J273" s="18"/>
      <c r="K273" s="18"/>
      <c r="L273" s="18"/>
      <c r="M273" s="18"/>
      <c r="N273" s="18"/>
      <c r="O273" s="18"/>
      <c r="P273" s="18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8"/>
      <c r="AG273" s="19"/>
      <c r="AH273" s="19"/>
      <c r="AI273" s="19"/>
      <c r="AJ273" s="19"/>
      <c r="AK273" s="19"/>
      <c r="AL273" s="19"/>
      <c r="AM273" s="19"/>
      <c r="AN273" s="779"/>
    </row>
    <row r="274" spans="1:40" ht="12.75">
      <c r="A274" s="774"/>
      <c r="B274" s="808"/>
      <c r="C274" s="782"/>
      <c r="D274" s="784"/>
      <c r="E274" s="776"/>
      <c r="F274" s="21" t="s">
        <v>22</v>
      </c>
      <c r="G274" s="15" t="s">
        <v>25</v>
      </c>
      <c r="H274" s="22">
        <f aca="true" t="shared" si="65" ref="H274:AM274">H268+H270+H272</f>
        <v>0</v>
      </c>
      <c r="I274" s="115">
        <f t="shared" si="65"/>
        <v>0</v>
      </c>
      <c r="J274" s="24">
        <f t="shared" si="65"/>
        <v>0</v>
      </c>
      <c r="K274" s="24">
        <f t="shared" si="65"/>
        <v>0</v>
      </c>
      <c r="L274" s="24">
        <f t="shared" si="65"/>
        <v>0</v>
      </c>
      <c r="M274" s="24">
        <f t="shared" si="65"/>
        <v>0</v>
      </c>
      <c r="N274" s="24">
        <f t="shared" si="65"/>
        <v>0</v>
      </c>
      <c r="O274" s="24">
        <f t="shared" si="65"/>
        <v>0</v>
      </c>
      <c r="P274" s="24">
        <f t="shared" si="65"/>
        <v>0</v>
      </c>
      <c r="Q274" s="24">
        <f t="shared" si="65"/>
        <v>0</v>
      </c>
      <c r="R274" s="24">
        <f t="shared" si="65"/>
        <v>0</v>
      </c>
      <c r="S274" s="24">
        <f t="shared" si="65"/>
        <v>0</v>
      </c>
      <c r="T274" s="24">
        <f t="shared" si="65"/>
        <v>0</v>
      </c>
      <c r="U274" s="24">
        <f t="shared" si="65"/>
        <v>0</v>
      </c>
      <c r="V274" s="24">
        <f t="shared" si="65"/>
        <v>0</v>
      </c>
      <c r="W274" s="24">
        <f t="shared" si="65"/>
        <v>0</v>
      </c>
      <c r="X274" s="24">
        <f t="shared" si="65"/>
        <v>0</v>
      </c>
      <c r="Y274" s="24">
        <f t="shared" si="65"/>
        <v>0</v>
      </c>
      <c r="Z274" s="24">
        <f t="shared" si="65"/>
        <v>0</v>
      </c>
      <c r="AA274" s="24">
        <f t="shared" si="65"/>
        <v>0</v>
      </c>
      <c r="AB274" s="24">
        <f t="shared" si="65"/>
        <v>0</v>
      </c>
      <c r="AC274" s="24">
        <f t="shared" si="65"/>
        <v>0</v>
      </c>
      <c r="AD274" s="24">
        <f t="shared" si="65"/>
        <v>0</v>
      </c>
      <c r="AE274" s="24">
        <f t="shared" si="65"/>
        <v>0</v>
      </c>
      <c r="AF274" s="24">
        <f t="shared" si="65"/>
        <v>0</v>
      </c>
      <c r="AG274" s="24">
        <f t="shared" si="65"/>
        <v>0</v>
      </c>
      <c r="AH274" s="24">
        <f t="shared" si="65"/>
        <v>0</v>
      </c>
      <c r="AI274" s="24">
        <f t="shared" si="65"/>
        <v>0</v>
      </c>
      <c r="AJ274" s="24">
        <f t="shared" si="65"/>
        <v>0</v>
      </c>
      <c r="AK274" s="24">
        <f t="shared" si="65"/>
        <v>0</v>
      </c>
      <c r="AL274" s="24">
        <f t="shared" si="65"/>
        <v>0</v>
      </c>
      <c r="AM274" s="24">
        <f t="shared" si="65"/>
        <v>0</v>
      </c>
      <c r="AN274" s="779"/>
    </row>
    <row r="275" spans="1:40" ht="18.75" customHeight="1" thickBot="1">
      <c r="A275" s="806"/>
      <c r="B275" s="809"/>
      <c r="C275" s="805"/>
      <c r="D275" s="784"/>
      <c r="E275" s="777"/>
      <c r="F275" s="116">
        <f>F269+F272</f>
        <v>6762856</v>
      </c>
      <c r="G275" s="36" t="s">
        <v>26</v>
      </c>
      <c r="H275" s="37">
        <f aca="true" t="shared" si="66" ref="H275:AM275">H269+H271+H273</f>
        <v>103334</v>
      </c>
      <c r="I275" s="119">
        <f t="shared" si="66"/>
        <v>1061736</v>
      </c>
      <c r="J275" s="29">
        <f t="shared" si="66"/>
        <v>3597786</v>
      </c>
      <c r="K275" s="29">
        <f t="shared" si="66"/>
        <v>2000000</v>
      </c>
      <c r="L275" s="29">
        <f t="shared" si="66"/>
        <v>0</v>
      </c>
      <c r="M275" s="29">
        <f t="shared" si="66"/>
        <v>0</v>
      </c>
      <c r="N275" s="29">
        <f t="shared" si="66"/>
        <v>0</v>
      </c>
      <c r="O275" s="29">
        <f t="shared" si="66"/>
        <v>0</v>
      </c>
      <c r="P275" s="29">
        <f t="shared" si="66"/>
        <v>0</v>
      </c>
      <c r="Q275" s="29">
        <f t="shared" si="66"/>
        <v>0</v>
      </c>
      <c r="R275" s="29">
        <f t="shared" si="66"/>
        <v>0</v>
      </c>
      <c r="S275" s="29">
        <f t="shared" si="66"/>
        <v>0</v>
      </c>
      <c r="T275" s="29">
        <f t="shared" si="66"/>
        <v>0</v>
      </c>
      <c r="U275" s="29">
        <f t="shared" si="66"/>
        <v>0</v>
      </c>
      <c r="V275" s="29">
        <f t="shared" si="66"/>
        <v>0</v>
      </c>
      <c r="W275" s="29">
        <f t="shared" si="66"/>
        <v>0</v>
      </c>
      <c r="X275" s="29">
        <f t="shared" si="66"/>
        <v>0</v>
      </c>
      <c r="Y275" s="29">
        <f t="shared" si="66"/>
        <v>0</v>
      </c>
      <c r="Z275" s="29">
        <f t="shared" si="66"/>
        <v>0</v>
      </c>
      <c r="AA275" s="29">
        <f t="shared" si="66"/>
        <v>0</v>
      </c>
      <c r="AB275" s="29">
        <f t="shared" si="66"/>
        <v>0</v>
      </c>
      <c r="AC275" s="29">
        <f t="shared" si="66"/>
        <v>0</v>
      </c>
      <c r="AD275" s="29">
        <f t="shared" si="66"/>
        <v>0</v>
      </c>
      <c r="AE275" s="29">
        <f t="shared" si="66"/>
        <v>0</v>
      </c>
      <c r="AF275" s="29">
        <f t="shared" si="66"/>
        <v>0</v>
      </c>
      <c r="AG275" s="30">
        <f t="shared" si="66"/>
        <v>0</v>
      </c>
      <c r="AH275" s="30">
        <f t="shared" si="66"/>
        <v>0</v>
      </c>
      <c r="AI275" s="30">
        <f t="shared" si="66"/>
        <v>0</v>
      </c>
      <c r="AJ275" s="30">
        <f t="shared" si="66"/>
        <v>0</v>
      </c>
      <c r="AK275" s="30">
        <f t="shared" si="66"/>
        <v>0</v>
      </c>
      <c r="AL275" s="30">
        <f t="shared" si="66"/>
        <v>0</v>
      </c>
      <c r="AM275" s="30">
        <f t="shared" si="66"/>
        <v>0</v>
      </c>
      <c r="AN275" s="780"/>
    </row>
    <row r="276" spans="1:40" ht="12.75" customHeight="1">
      <c r="A276" s="774">
        <v>34</v>
      </c>
      <c r="B276" s="737" t="s">
        <v>135</v>
      </c>
      <c r="C276" s="782">
        <v>90004</v>
      </c>
      <c r="D276" s="783" t="s">
        <v>164</v>
      </c>
      <c r="E276" s="776"/>
      <c r="F276" s="20" t="s">
        <v>14</v>
      </c>
      <c r="G276" s="9" t="s">
        <v>15</v>
      </c>
      <c r="H276" s="10"/>
      <c r="I276" s="113"/>
      <c r="J276" s="12"/>
      <c r="K276" s="12"/>
      <c r="L276" s="12"/>
      <c r="M276" s="12"/>
      <c r="N276" s="12"/>
      <c r="O276" s="12"/>
      <c r="P276" s="12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803">
        <f>SUM(J283:AM283)</f>
        <v>100000</v>
      </c>
    </row>
    <row r="277" spans="1:40" ht="12.75">
      <c r="A277" s="774"/>
      <c r="B277" s="737"/>
      <c r="C277" s="782"/>
      <c r="D277" s="784"/>
      <c r="E277" s="776"/>
      <c r="F277" s="746">
        <f>SUM(H282:AM282)</f>
        <v>0</v>
      </c>
      <c r="G277" s="15" t="s">
        <v>16</v>
      </c>
      <c r="H277" s="16"/>
      <c r="I277" s="114">
        <v>50000</v>
      </c>
      <c r="J277" s="18">
        <v>50000</v>
      </c>
      <c r="K277" s="18">
        <v>50000</v>
      </c>
      <c r="L277" s="18"/>
      <c r="M277" s="18"/>
      <c r="N277" s="18"/>
      <c r="O277" s="18"/>
      <c r="P277" s="18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779"/>
    </row>
    <row r="278" spans="1:40" ht="12.75">
      <c r="A278" s="774"/>
      <c r="B278" s="737"/>
      <c r="C278" s="782"/>
      <c r="D278" s="784"/>
      <c r="E278" s="776"/>
      <c r="F278" s="781"/>
      <c r="G278" s="15" t="s">
        <v>17</v>
      </c>
      <c r="H278" s="16"/>
      <c r="I278" s="114"/>
      <c r="J278" s="18"/>
      <c r="K278" s="18"/>
      <c r="L278" s="18"/>
      <c r="M278" s="18"/>
      <c r="N278" s="18"/>
      <c r="O278" s="18"/>
      <c r="P278" s="18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779"/>
    </row>
    <row r="279" spans="1:40" ht="12.75">
      <c r="A279" s="774"/>
      <c r="B279" s="737"/>
      <c r="C279" s="782"/>
      <c r="D279" s="784"/>
      <c r="E279" s="727"/>
      <c r="F279" s="21" t="s">
        <v>18</v>
      </c>
      <c r="G279" s="15" t="s">
        <v>19</v>
      </c>
      <c r="H279" s="16"/>
      <c r="I279" s="114"/>
      <c r="J279" s="18"/>
      <c r="K279" s="18"/>
      <c r="L279" s="18"/>
      <c r="M279" s="18"/>
      <c r="N279" s="18"/>
      <c r="O279" s="18"/>
      <c r="P279" s="18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779"/>
    </row>
    <row r="280" spans="1:40" ht="12.75">
      <c r="A280" s="774"/>
      <c r="B280" s="737"/>
      <c r="C280" s="782"/>
      <c r="D280" s="784"/>
      <c r="E280" s="723"/>
      <c r="F280" s="746">
        <f>SUM(H283:AM283)</f>
        <v>150000</v>
      </c>
      <c r="G280" s="15" t="s">
        <v>23</v>
      </c>
      <c r="H280" s="16"/>
      <c r="I280" s="114"/>
      <c r="J280" s="18"/>
      <c r="K280" s="18"/>
      <c r="L280" s="18"/>
      <c r="M280" s="18"/>
      <c r="N280" s="18"/>
      <c r="O280" s="18"/>
      <c r="P280" s="18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779"/>
    </row>
    <row r="281" spans="1:40" ht="12.75">
      <c r="A281" s="774"/>
      <c r="B281" s="737"/>
      <c r="C281" s="782"/>
      <c r="D281" s="784"/>
      <c r="E281" s="776"/>
      <c r="F281" s="781"/>
      <c r="G281" s="15" t="s">
        <v>24</v>
      </c>
      <c r="H281" s="16"/>
      <c r="I281" s="114"/>
      <c r="J281" s="18"/>
      <c r="K281" s="18"/>
      <c r="L281" s="18"/>
      <c r="M281" s="18"/>
      <c r="N281" s="18"/>
      <c r="O281" s="18"/>
      <c r="P281" s="18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779"/>
    </row>
    <row r="282" spans="1:40" ht="12.75">
      <c r="A282" s="774"/>
      <c r="B282" s="737"/>
      <c r="C282" s="782"/>
      <c r="D282" s="784"/>
      <c r="E282" s="776"/>
      <c r="F282" s="21" t="s">
        <v>22</v>
      </c>
      <c r="G282" s="15" t="s">
        <v>25</v>
      </c>
      <c r="H282" s="22">
        <f aca="true" t="shared" si="67" ref="H282:AM282">H276+H278+H280</f>
        <v>0</v>
      </c>
      <c r="I282" s="115">
        <f t="shared" si="67"/>
        <v>0</v>
      </c>
      <c r="J282" s="24">
        <f t="shared" si="67"/>
        <v>0</v>
      </c>
      <c r="K282" s="24">
        <f t="shared" si="67"/>
        <v>0</v>
      </c>
      <c r="L282" s="24">
        <f t="shared" si="67"/>
        <v>0</v>
      </c>
      <c r="M282" s="24">
        <f t="shared" si="67"/>
        <v>0</v>
      </c>
      <c r="N282" s="24">
        <f t="shared" si="67"/>
        <v>0</v>
      </c>
      <c r="O282" s="24">
        <f t="shared" si="67"/>
        <v>0</v>
      </c>
      <c r="P282" s="24">
        <f t="shared" si="67"/>
        <v>0</v>
      </c>
      <c r="Q282" s="24">
        <f t="shared" si="67"/>
        <v>0</v>
      </c>
      <c r="R282" s="24">
        <f t="shared" si="67"/>
        <v>0</v>
      </c>
      <c r="S282" s="24">
        <f t="shared" si="67"/>
        <v>0</v>
      </c>
      <c r="T282" s="24">
        <f t="shared" si="67"/>
        <v>0</v>
      </c>
      <c r="U282" s="24">
        <f t="shared" si="67"/>
        <v>0</v>
      </c>
      <c r="V282" s="24">
        <f t="shared" si="67"/>
        <v>0</v>
      </c>
      <c r="W282" s="24">
        <f t="shared" si="67"/>
        <v>0</v>
      </c>
      <c r="X282" s="24">
        <f t="shared" si="67"/>
        <v>0</v>
      </c>
      <c r="Y282" s="24">
        <f t="shared" si="67"/>
        <v>0</v>
      </c>
      <c r="Z282" s="24">
        <f t="shared" si="67"/>
        <v>0</v>
      </c>
      <c r="AA282" s="24">
        <f t="shared" si="67"/>
        <v>0</v>
      </c>
      <c r="AB282" s="24">
        <f t="shared" si="67"/>
        <v>0</v>
      </c>
      <c r="AC282" s="24">
        <f t="shared" si="67"/>
        <v>0</v>
      </c>
      <c r="AD282" s="24">
        <f t="shared" si="67"/>
        <v>0</v>
      </c>
      <c r="AE282" s="24">
        <f t="shared" si="67"/>
        <v>0</v>
      </c>
      <c r="AF282" s="24">
        <f t="shared" si="67"/>
        <v>0</v>
      </c>
      <c r="AG282" s="24">
        <f t="shared" si="67"/>
        <v>0</v>
      </c>
      <c r="AH282" s="24">
        <f t="shared" si="67"/>
        <v>0</v>
      </c>
      <c r="AI282" s="24">
        <f t="shared" si="67"/>
        <v>0</v>
      </c>
      <c r="AJ282" s="24">
        <f t="shared" si="67"/>
        <v>0</v>
      </c>
      <c r="AK282" s="24">
        <f t="shared" si="67"/>
        <v>0</v>
      </c>
      <c r="AL282" s="24">
        <f t="shared" si="67"/>
        <v>0</v>
      </c>
      <c r="AM282" s="24">
        <f t="shared" si="67"/>
        <v>0</v>
      </c>
      <c r="AN282" s="779"/>
    </row>
    <row r="283" spans="1:40" ht="13.5" thickBot="1">
      <c r="A283" s="774"/>
      <c r="B283" s="737"/>
      <c r="C283" s="782"/>
      <c r="D283" s="784"/>
      <c r="E283" s="776"/>
      <c r="F283" s="116">
        <f>F277+F280</f>
        <v>150000</v>
      </c>
      <c r="G283" s="26" t="s">
        <v>26</v>
      </c>
      <c r="H283" s="37">
        <f aca="true" t="shared" si="68" ref="H283:AM283">H277+H279+H281</f>
        <v>0</v>
      </c>
      <c r="I283" s="117">
        <f t="shared" si="68"/>
        <v>50000</v>
      </c>
      <c r="J283" s="30">
        <f t="shared" si="68"/>
        <v>50000</v>
      </c>
      <c r="K283" s="30">
        <f t="shared" si="68"/>
        <v>50000</v>
      </c>
      <c r="L283" s="30">
        <f t="shared" si="68"/>
        <v>0</v>
      </c>
      <c r="M283" s="30">
        <f t="shared" si="68"/>
        <v>0</v>
      </c>
      <c r="N283" s="30">
        <f t="shared" si="68"/>
        <v>0</v>
      </c>
      <c r="O283" s="30">
        <f t="shared" si="68"/>
        <v>0</v>
      </c>
      <c r="P283" s="30">
        <f t="shared" si="68"/>
        <v>0</v>
      </c>
      <c r="Q283" s="30">
        <f t="shared" si="68"/>
        <v>0</v>
      </c>
      <c r="R283" s="30">
        <f t="shared" si="68"/>
        <v>0</v>
      </c>
      <c r="S283" s="30">
        <f t="shared" si="68"/>
        <v>0</v>
      </c>
      <c r="T283" s="30">
        <f t="shared" si="68"/>
        <v>0</v>
      </c>
      <c r="U283" s="30">
        <f t="shared" si="68"/>
        <v>0</v>
      </c>
      <c r="V283" s="30">
        <f t="shared" si="68"/>
        <v>0</v>
      </c>
      <c r="W283" s="30">
        <f t="shared" si="68"/>
        <v>0</v>
      </c>
      <c r="X283" s="30">
        <f t="shared" si="68"/>
        <v>0</v>
      </c>
      <c r="Y283" s="30">
        <f t="shared" si="68"/>
        <v>0</v>
      </c>
      <c r="Z283" s="30">
        <f t="shared" si="68"/>
        <v>0</v>
      </c>
      <c r="AA283" s="30">
        <f t="shared" si="68"/>
        <v>0</v>
      </c>
      <c r="AB283" s="30">
        <f t="shared" si="68"/>
        <v>0</v>
      </c>
      <c r="AC283" s="30">
        <f t="shared" si="68"/>
        <v>0</v>
      </c>
      <c r="AD283" s="30">
        <f t="shared" si="68"/>
        <v>0</v>
      </c>
      <c r="AE283" s="30">
        <f t="shared" si="68"/>
        <v>0</v>
      </c>
      <c r="AF283" s="30">
        <f t="shared" si="68"/>
        <v>0</v>
      </c>
      <c r="AG283" s="30">
        <f t="shared" si="68"/>
        <v>0</v>
      </c>
      <c r="AH283" s="30">
        <f t="shared" si="68"/>
        <v>0</v>
      </c>
      <c r="AI283" s="30">
        <f t="shared" si="68"/>
        <v>0</v>
      </c>
      <c r="AJ283" s="30">
        <f t="shared" si="68"/>
        <v>0</v>
      </c>
      <c r="AK283" s="30">
        <f t="shared" si="68"/>
        <v>0</v>
      </c>
      <c r="AL283" s="30">
        <f t="shared" si="68"/>
        <v>0</v>
      </c>
      <c r="AM283" s="30">
        <f t="shared" si="68"/>
        <v>0</v>
      </c>
      <c r="AN283" s="780"/>
    </row>
    <row r="284" spans="1:40" ht="12.75" customHeight="1">
      <c r="A284" s="773">
        <v>35</v>
      </c>
      <c r="B284" s="752" t="s">
        <v>149</v>
      </c>
      <c r="C284" s="804">
        <v>90015</v>
      </c>
      <c r="D284" s="783" t="s">
        <v>164</v>
      </c>
      <c r="E284" s="775">
        <v>2011</v>
      </c>
      <c r="F284" s="8" t="s">
        <v>14</v>
      </c>
      <c r="G284" s="32" t="s">
        <v>15</v>
      </c>
      <c r="H284" s="33"/>
      <c r="I284" s="118"/>
      <c r="J284" s="34"/>
      <c r="K284" s="34"/>
      <c r="L284" s="34"/>
      <c r="M284" s="34"/>
      <c r="N284" s="34"/>
      <c r="O284" s="34"/>
      <c r="P284" s="34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803">
        <f>SUM(J291:AM291)</f>
        <v>1000000</v>
      </c>
    </row>
    <row r="285" spans="1:40" ht="12.75">
      <c r="A285" s="774"/>
      <c r="B285" s="737"/>
      <c r="C285" s="782"/>
      <c r="D285" s="784"/>
      <c r="E285" s="776"/>
      <c r="F285" s="746">
        <f>SUM(H290:AM290)</f>
        <v>0</v>
      </c>
      <c r="G285" s="15" t="s">
        <v>16</v>
      </c>
      <c r="H285" s="16"/>
      <c r="I285" s="114">
        <v>500000</v>
      </c>
      <c r="J285" s="18">
        <v>500000</v>
      </c>
      <c r="K285" s="18">
        <v>500000</v>
      </c>
      <c r="L285" s="18"/>
      <c r="M285" s="18"/>
      <c r="N285" s="18"/>
      <c r="O285" s="18"/>
      <c r="P285" s="18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779"/>
    </row>
    <row r="286" spans="1:40" ht="12.75">
      <c r="A286" s="774"/>
      <c r="B286" s="737"/>
      <c r="C286" s="782"/>
      <c r="D286" s="784"/>
      <c r="E286" s="776"/>
      <c r="F286" s="781"/>
      <c r="G286" s="15" t="s">
        <v>17</v>
      </c>
      <c r="H286" s="16"/>
      <c r="I286" s="114"/>
      <c r="J286" s="18"/>
      <c r="K286" s="18"/>
      <c r="L286" s="18"/>
      <c r="M286" s="18"/>
      <c r="N286" s="18"/>
      <c r="O286" s="18"/>
      <c r="P286" s="18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779"/>
    </row>
    <row r="287" spans="1:40" ht="12.75">
      <c r="A287" s="774"/>
      <c r="B287" s="737"/>
      <c r="C287" s="782"/>
      <c r="D287" s="784"/>
      <c r="E287" s="727"/>
      <c r="F287" s="21" t="s">
        <v>18</v>
      </c>
      <c r="G287" s="15" t="s">
        <v>19</v>
      </c>
      <c r="H287" s="16"/>
      <c r="I287" s="114"/>
      <c r="J287" s="18"/>
      <c r="K287" s="18"/>
      <c r="L287" s="18"/>
      <c r="M287" s="18"/>
      <c r="N287" s="18"/>
      <c r="O287" s="18"/>
      <c r="P287" s="18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779"/>
    </row>
    <row r="288" spans="1:40" ht="12.75">
      <c r="A288" s="774"/>
      <c r="B288" s="737"/>
      <c r="C288" s="782"/>
      <c r="D288" s="784"/>
      <c r="E288" s="723">
        <v>2013</v>
      </c>
      <c r="F288" s="746">
        <f>SUM(H291:AM291)</f>
        <v>1500000</v>
      </c>
      <c r="G288" s="15" t="s">
        <v>23</v>
      </c>
      <c r="H288" s="16"/>
      <c r="I288" s="114"/>
      <c r="J288" s="18"/>
      <c r="K288" s="18"/>
      <c r="L288" s="18"/>
      <c r="M288" s="18"/>
      <c r="N288" s="18"/>
      <c r="O288" s="18"/>
      <c r="P288" s="18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779"/>
    </row>
    <row r="289" spans="1:40" ht="12.75">
      <c r="A289" s="774"/>
      <c r="B289" s="737"/>
      <c r="C289" s="782"/>
      <c r="D289" s="784"/>
      <c r="E289" s="776"/>
      <c r="F289" s="781"/>
      <c r="G289" s="15" t="s">
        <v>24</v>
      </c>
      <c r="H289" s="16"/>
      <c r="I289" s="114"/>
      <c r="J289" s="18"/>
      <c r="K289" s="18"/>
      <c r="L289" s="18"/>
      <c r="M289" s="18"/>
      <c r="N289" s="18"/>
      <c r="O289" s="18"/>
      <c r="P289" s="18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779"/>
    </row>
    <row r="290" spans="1:40" ht="12.75">
      <c r="A290" s="774"/>
      <c r="B290" s="737"/>
      <c r="C290" s="782"/>
      <c r="D290" s="784"/>
      <c r="E290" s="776"/>
      <c r="F290" s="21" t="s">
        <v>22</v>
      </c>
      <c r="G290" s="15" t="s">
        <v>25</v>
      </c>
      <c r="H290" s="22">
        <f aca="true" t="shared" si="69" ref="H290:AM290">H284+H286+H288</f>
        <v>0</v>
      </c>
      <c r="I290" s="115">
        <f t="shared" si="69"/>
        <v>0</v>
      </c>
      <c r="J290" s="24">
        <f t="shared" si="69"/>
        <v>0</v>
      </c>
      <c r="K290" s="24">
        <f t="shared" si="69"/>
        <v>0</v>
      </c>
      <c r="L290" s="24">
        <f t="shared" si="69"/>
        <v>0</v>
      </c>
      <c r="M290" s="24">
        <f t="shared" si="69"/>
        <v>0</v>
      </c>
      <c r="N290" s="24">
        <f t="shared" si="69"/>
        <v>0</v>
      </c>
      <c r="O290" s="24">
        <f t="shared" si="69"/>
        <v>0</v>
      </c>
      <c r="P290" s="24">
        <f t="shared" si="69"/>
        <v>0</v>
      </c>
      <c r="Q290" s="24">
        <f t="shared" si="69"/>
        <v>0</v>
      </c>
      <c r="R290" s="24">
        <f t="shared" si="69"/>
        <v>0</v>
      </c>
      <c r="S290" s="24">
        <f t="shared" si="69"/>
        <v>0</v>
      </c>
      <c r="T290" s="24">
        <f t="shared" si="69"/>
        <v>0</v>
      </c>
      <c r="U290" s="24">
        <f t="shared" si="69"/>
        <v>0</v>
      </c>
      <c r="V290" s="24">
        <f t="shared" si="69"/>
        <v>0</v>
      </c>
      <c r="W290" s="24">
        <f t="shared" si="69"/>
        <v>0</v>
      </c>
      <c r="X290" s="24">
        <f t="shared" si="69"/>
        <v>0</v>
      </c>
      <c r="Y290" s="24">
        <f t="shared" si="69"/>
        <v>0</v>
      </c>
      <c r="Z290" s="24">
        <f t="shared" si="69"/>
        <v>0</v>
      </c>
      <c r="AA290" s="24">
        <f t="shared" si="69"/>
        <v>0</v>
      </c>
      <c r="AB290" s="24">
        <f t="shared" si="69"/>
        <v>0</v>
      </c>
      <c r="AC290" s="24">
        <f t="shared" si="69"/>
        <v>0</v>
      </c>
      <c r="AD290" s="24">
        <f t="shared" si="69"/>
        <v>0</v>
      </c>
      <c r="AE290" s="24">
        <f t="shared" si="69"/>
        <v>0</v>
      </c>
      <c r="AF290" s="24">
        <f t="shared" si="69"/>
        <v>0</v>
      </c>
      <c r="AG290" s="24">
        <f t="shared" si="69"/>
        <v>0</v>
      </c>
      <c r="AH290" s="24">
        <f t="shared" si="69"/>
        <v>0</v>
      </c>
      <c r="AI290" s="24">
        <f t="shared" si="69"/>
        <v>0</v>
      </c>
      <c r="AJ290" s="24">
        <f t="shared" si="69"/>
        <v>0</v>
      </c>
      <c r="AK290" s="24">
        <f t="shared" si="69"/>
        <v>0</v>
      </c>
      <c r="AL290" s="24">
        <f t="shared" si="69"/>
        <v>0</v>
      </c>
      <c r="AM290" s="24">
        <f t="shared" si="69"/>
        <v>0</v>
      </c>
      <c r="AN290" s="779"/>
    </row>
    <row r="291" spans="1:40" ht="13.5" thickBot="1">
      <c r="A291" s="806"/>
      <c r="B291" s="738"/>
      <c r="C291" s="805"/>
      <c r="D291" s="784"/>
      <c r="E291" s="777"/>
      <c r="F291" s="116">
        <f>F285+F288</f>
        <v>1500000</v>
      </c>
      <c r="G291" s="36" t="s">
        <v>26</v>
      </c>
      <c r="H291" s="37">
        <f aca="true" t="shared" si="70" ref="H291:AM291">H285+H287+H289</f>
        <v>0</v>
      </c>
      <c r="I291" s="119">
        <f t="shared" si="70"/>
        <v>500000</v>
      </c>
      <c r="J291" s="29">
        <f t="shared" si="70"/>
        <v>500000</v>
      </c>
      <c r="K291" s="29">
        <f t="shared" si="70"/>
        <v>500000</v>
      </c>
      <c r="L291" s="29">
        <f t="shared" si="70"/>
        <v>0</v>
      </c>
      <c r="M291" s="29">
        <f t="shared" si="70"/>
        <v>0</v>
      </c>
      <c r="N291" s="29">
        <f t="shared" si="70"/>
        <v>0</v>
      </c>
      <c r="O291" s="29">
        <f t="shared" si="70"/>
        <v>0</v>
      </c>
      <c r="P291" s="29">
        <f t="shared" si="70"/>
        <v>0</v>
      </c>
      <c r="Q291" s="29">
        <f t="shared" si="70"/>
        <v>0</v>
      </c>
      <c r="R291" s="29">
        <f t="shared" si="70"/>
        <v>0</v>
      </c>
      <c r="S291" s="29">
        <f t="shared" si="70"/>
        <v>0</v>
      </c>
      <c r="T291" s="29">
        <f t="shared" si="70"/>
        <v>0</v>
      </c>
      <c r="U291" s="29">
        <f t="shared" si="70"/>
        <v>0</v>
      </c>
      <c r="V291" s="29">
        <f t="shared" si="70"/>
        <v>0</v>
      </c>
      <c r="W291" s="29">
        <f t="shared" si="70"/>
        <v>0</v>
      </c>
      <c r="X291" s="29">
        <f t="shared" si="70"/>
        <v>0</v>
      </c>
      <c r="Y291" s="29">
        <f t="shared" si="70"/>
        <v>0</v>
      </c>
      <c r="Z291" s="29">
        <f t="shared" si="70"/>
        <v>0</v>
      </c>
      <c r="AA291" s="29">
        <f t="shared" si="70"/>
        <v>0</v>
      </c>
      <c r="AB291" s="29">
        <f t="shared" si="70"/>
        <v>0</v>
      </c>
      <c r="AC291" s="29">
        <f t="shared" si="70"/>
        <v>0</v>
      </c>
      <c r="AD291" s="29">
        <f t="shared" si="70"/>
        <v>0</v>
      </c>
      <c r="AE291" s="29">
        <f t="shared" si="70"/>
        <v>0</v>
      </c>
      <c r="AF291" s="29">
        <f t="shared" si="70"/>
        <v>0</v>
      </c>
      <c r="AG291" s="29">
        <f t="shared" si="70"/>
        <v>0</v>
      </c>
      <c r="AH291" s="29">
        <f t="shared" si="70"/>
        <v>0</v>
      </c>
      <c r="AI291" s="29">
        <f t="shared" si="70"/>
        <v>0</v>
      </c>
      <c r="AJ291" s="29">
        <f t="shared" si="70"/>
        <v>0</v>
      </c>
      <c r="AK291" s="29">
        <f t="shared" si="70"/>
        <v>0</v>
      </c>
      <c r="AL291" s="29">
        <f t="shared" si="70"/>
        <v>0</v>
      </c>
      <c r="AM291" s="29">
        <f t="shared" si="70"/>
        <v>0</v>
      </c>
      <c r="AN291" s="780"/>
    </row>
    <row r="292" spans="1:40" ht="12.75" customHeight="1">
      <c r="A292" s="773">
        <v>36</v>
      </c>
      <c r="B292" s="752" t="s">
        <v>150</v>
      </c>
      <c r="C292" s="804">
        <v>90015</v>
      </c>
      <c r="D292" s="783" t="s">
        <v>164</v>
      </c>
      <c r="E292" s="775">
        <v>2011</v>
      </c>
      <c r="F292" s="8" t="s">
        <v>14</v>
      </c>
      <c r="G292" s="32" t="s">
        <v>123</v>
      </c>
      <c r="H292" s="33"/>
      <c r="I292" s="113"/>
      <c r="J292" s="12"/>
      <c r="K292" s="12"/>
      <c r="L292" s="12"/>
      <c r="M292" s="12"/>
      <c r="N292" s="12"/>
      <c r="O292" s="12"/>
      <c r="P292" s="12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803">
        <f>SUM(J299:AM299)</f>
        <v>100000</v>
      </c>
    </row>
    <row r="293" spans="1:40" ht="12.75">
      <c r="A293" s="774"/>
      <c r="B293" s="737"/>
      <c r="C293" s="782"/>
      <c r="D293" s="784"/>
      <c r="E293" s="776"/>
      <c r="F293" s="746">
        <f>SUM(H298:AM298)</f>
        <v>0</v>
      </c>
      <c r="G293" s="15" t="s">
        <v>124</v>
      </c>
      <c r="H293" s="16"/>
      <c r="I293" s="114">
        <v>50000</v>
      </c>
      <c r="J293" s="18">
        <v>50000</v>
      </c>
      <c r="K293" s="18">
        <v>50000</v>
      </c>
      <c r="L293" s="18"/>
      <c r="M293" s="18"/>
      <c r="N293" s="18"/>
      <c r="O293" s="18"/>
      <c r="P293" s="18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779"/>
    </row>
    <row r="294" spans="1:40" ht="12.75">
      <c r="A294" s="774"/>
      <c r="B294" s="737"/>
      <c r="C294" s="782"/>
      <c r="D294" s="784"/>
      <c r="E294" s="776"/>
      <c r="F294" s="781"/>
      <c r="G294" s="15" t="s">
        <v>17</v>
      </c>
      <c r="H294" s="16"/>
      <c r="I294" s="114"/>
      <c r="J294" s="18"/>
      <c r="K294" s="18"/>
      <c r="L294" s="18"/>
      <c r="M294" s="18"/>
      <c r="N294" s="18"/>
      <c r="O294" s="18"/>
      <c r="P294" s="18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779"/>
    </row>
    <row r="295" spans="1:40" ht="12.75">
      <c r="A295" s="774"/>
      <c r="B295" s="737"/>
      <c r="C295" s="782"/>
      <c r="D295" s="784"/>
      <c r="E295" s="727"/>
      <c r="F295" s="21" t="s">
        <v>18</v>
      </c>
      <c r="G295" s="15" t="s">
        <v>19</v>
      </c>
      <c r="H295" s="16"/>
      <c r="I295" s="114"/>
      <c r="J295" s="18"/>
      <c r="K295" s="18"/>
      <c r="L295" s="18"/>
      <c r="M295" s="18"/>
      <c r="N295" s="18"/>
      <c r="O295" s="18"/>
      <c r="P295" s="18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779"/>
    </row>
    <row r="296" spans="1:40" ht="12.75">
      <c r="A296" s="774"/>
      <c r="B296" s="737"/>
      <c r="C296" s="782"/>
      <c r="D296" s="784"/>
      <c r="E296" s="723">
        <v>2013</v>
      </c>
      <c r="F296" s="746">
        <f>SUM(H299:AM299)</f>
        <v>150000</v>
      </c>
      <c r="G296" s="15" t="s">
        <v>23</v>
      </c>
      <c r="H296" s="16"/>
      <c r="I296" s="114"/>
      <c r="J296" s="18"/>
      <c r="K296" s="18"/>
      <c r="L296" s="18"/>
      <c r="M296" s="18"/>
      <c r="N296" s="18"/>
      <c r="O296" s="18"/>
      <c r="P296" s="18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779"/>
    </row>
    <row r="297" spans="1:40" ht="12.75">
      <c r="A297" s="774"/>
      <c r="B297" s="737"/>
      <c r="C297" s="782"/>
      <c r="D297" s="784"/>
      <c r="E297" s="776"/>
      <c r="F297" s="781"/>
      <c r="G297" s="15" t="s">
        <v>24</v>
      </c>
      <c r="H297" s="16"/>
      <c r="I297" s="114"/>
      <c r="J297" s="18"/>
      <c r="K297" s="18"/>
      <c r="L297" s="18"/>
      <c r="M297" s="18"/>
      <c r="N297" s="18"/>
      <c r="O297" s="18"/>
      <c r="P297" s="18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779"/>
    </row>
    <row r="298" spans="1:40" ht="12.75">
      <c r="A298" s="774"/>
      <c r="B298" s="737"/>
      <c r="C298" s="782"/>
      <c r="D298" s="784"/>
      <c r="E298" s="776"/>
      <c r="F298" s="21" t="s">
        <v>22</v>
      </c>
      <c r="G298" s="15" t="s">
        <v>25</v>
      </c>
      <c r="H298" s="22">
        <f aca="true" t="shared" si="71" ref="H298:AM298">H292+H294+H296</f>
        <v>0</v>
      </c>
      <c r="I298" s="115">
        <f t="shared" si="71"/>
        <v>0</v>
      </c>
      <c r="J298" s="24">
        <f t="shared" si="71"/>
        <v>0</v>
      </c>
      <c r="K298" s="24">
        <f t="shared" si="71"/>
        <v>0</v>
      </c>
      <c r="L298" s="24">
        <f t="shared" si="71"/>
        <v>0</v>
      </c>
      <c r="M298" s="24">
        <f t="shared" si="71"/>
        <v>0</v>
      </c>
      <c r="N298" s="24">
        <f t="shared" si="71"/>
        <v>0</v>
      </c>
      <c r="O298" s="24">
        <f t="shared" si="71"/>
        <v>0</v>
      </c>
      <c r="P298" s="24">
        <f t="shared" si="71"/>
        <v>0</v>
      </c>
      <c r="Q298" s="24">
        <f t="shared" si="71"/>
        <v>0</v>
      </c>
      <c r="R298" s="24">
        <f t="shared" si="71"/>
        <v>0</v>
      </c>
      <c r="S298" s="24">
        <f t="shared" si="71"/>
        <v>0</v>
      </c>
      <c r="T298" s="24">
        <f t="shared" si="71"/>
        <v>0</v>
      </c>
      <c r="U298" s="24">
        <f t="shared" si="71"/>
        <v>0</v>
      </c>
      <c r="V298" s="24">
        <f t="shared" si="71"/>
        <v>0</v>
      </c>
      <c r="W298" s="24">
        <f t="shared" si="71"/>
        <v>0</v>
      </c>
      <c r="X298" s="24">
        <f t="shared" si="71"/>
        <v>0</v>
      </c>
      <c r="Y298" s="24">
        <f t="shared" si="71"/>
        <v>0</v>
      </c>
      <c r="Z298" s="24">
        <f t="shared" si="71"/>
        <v>0</v>
      </c>
      <c r="AA298" s="24">
        <f t="shared" si="71"/>
        <v>0</v>
      </c>
      <c r="AB298" s="24">
        <f t="shared" si="71"/>
        <v>0</v>
      </c>
      <c r="AC298" s="24">
        <f t="shared" si="71"/>
        <v>0</v>
      </c>
      <c r="AD298" s="24">
        <f t="shared" si="71"/>
        <v>0</v>
      </c>
      <c r="AE298" s="24">
        <f t="shared" si="71"/>
        <v>0</v>
      </c>
      <c r="AF298" s="24">
        <f t="shared" si="71"/>
        <v>0</v>
      </c>
      <c r="AG298" s="24">
        <f t="shared" si="71"/>
        <v>0</v>
      </c>
      <c r="AH298" s="24">
        <f t="shared" si="71"/>
        <v>0</v>
      </c>
      <c r="AI298" s="24">
        <f t="shared" si="71"/>
        <v>0</v>
      </c>
      <c r="AJ298" s="24">
        <f t="shared" si="71"/>
        <v>0</v>
      </c>
      <c r="AK298" s="24">
        <f t="shared" si="71"/>
        <v>0</v>
      </c>
      <c r="AL298" s="24">
        <f t="shared" si="71"/>
        <v>0</v>
      </c>
      <c r="AM298" s="24">
        <f t="shared" si="71"/>
        <v>0</v>
      </c>
      <c r="AN298" s="779"/>
    </row>
    <row r="299" spans="1:40" ht="13.5" thickBot="1">
      <c r="A299" s="774"/>
      <c r="B299" s="737"/>
      <c r="C299" s="782"/>
      <c r="D299" s="784"/>
      <c r="E299" s="776"/>
      <c r="F299" s="116">
        <f>F293+F296</f>
        <v>150000</v>
      </c>
      <c r="G299" s="26" t="s">
        <v>26</v>
      </c>
      <c r="H299" s="37">
        <f aca="true" t="shared" si="72" ref="H299:AM299">H293+H295+H297</f>
        <v>0</v>
      </c>
      <c r="I299" s="117">
        <f t="shared" si="72"/>
        <v>50000</v>
      </c>
      <c r="J299" s="30">
        <f t="shared" si="72"/>
        <v>50000</v>
      </c>
      <c r="K299" s="30">
        <f t="shared" si="72"/>
        <v>50000</v>
      </c>
      <c r="L299" s="30">
        <f t="shared" si="72"/>
        <v>0</v>
      </c>
      <c r="M299" s="30">
        <f t="shared" si="72"/>
        <v>0</v>
      </c>
      <c r="N299" s="30">
        <f t="shared" si="72"/>
        <v>0</v>
      </c>
      <c r="O299" s="30">
        <f t="shared" si="72"/>
        <v>0</v>
      </c>
      <c r="P299" s="30">
        <f t="shared" si="72"/>
        <v>0</v>
      </c>
      <c r="Q299" s="30">
        <f t="shared" si="72"/>
        <v>0</v>
      </c>
      <c r="R299" s="30">
        <f t="shared" si="72"/>
        <v>0</v>
      </c>
      <c r="S299" s="30">
        <f t="shared" si="72"/>
        <v>0</v>
      </c>
      <c r="T299" s="30">
        <f t="shared" si="72"/>
        <v>0</v>
      </c>
      <c r="U299" s="30">
        <f t="shared" si="72"/>
        <v>0</v>
      </c>
      <c r="V299" s="30">
        <f t="shared" si="72"/>
        <v>0</v>
      </c>
      <c r="W299" s="30">
        <f t="shared" si="72"/>
        <v>0</v>
      </c>
      <c r="X299" s="30">
        <f t="shared" si="72"/>
        <v>0</v>
      </c>
      <c r="Y299" s="30">
        <f t="shared" si="72"/>
        <v>0</v>
      </c>
      <c r="Z299" s="30">
        <f t="shared" si="72"/>
        <v>0</v>
      </c>
      <c r="AA299" s="30">
        <f t="shared" si="72"/>
        <v>0</v>
      </c>
      <c r="AB299" s="30">
        <f t="shared" si="72"/>
        <v>0</v>
      </c>
      <c r="AC299" s="30">
        <f t="shared" si="72"/>
        <v>0</v>
      </c>
      <c r="AD299" s="30">
        <f t="shared" si="72"/>
        <v>0</v>
      </c>
      <c r="AE299" s="30">
        <f t="shared" si="72"/>
        <v>0</v>
      </c>
      <c r="AF299" s="30">
        <f t="shared" si="72"/>
        <v>0</v>
      </c>
      <c r="AG299" s="30">
        <f t="shared" si="72"/>
        <v>0</v>
      </c>
      <c r="AH299" s="30">
        <f t="shared" si="72"/>
        <v>0</v>
      </c>
      <c r="AI299" s="30">
        <f t="shared" si="72"/>
        <v>0</v>
      </c>
      <c r="AJ299" s="30">
        <f t="shared" si="72"/>
        <v>0</v>
      </c>
      <c r="AK299" s="30">
        <f t="shared" si="72"/>
        <v>0</v>
      </c>
      <c r="AL299" s="30">
        <f t="shared" si="72"/>
        <v>0</v>
      </c>
      <c r="AM299" s="30">
        <f t="shared" si="72"/>
        <v>0</v>
      </c>
      <c r="AN299" s="780"/>
    </row>
    <row r="300" spans="1:40" ht="12.75" customHeight="1">
      <c r="A300" s="773">
        <v>37</v>
      </c>
      <c r="B300" s="752" t="s">
        <v>135</v>
      </c>
      <c r="C300" s="804">
        <v>90015</v>
      </c>
      <c r="D300" s="783" t="s">
        <v>164</v>
      </c>
      <c r="E300" s="775"/>
      <c r="F300" s="8" t="s">
        <v>14</v>
      </c>
      <c r="G300" s="32" t="s">
        <v>15</v>
      </c>
      <c r="H300" s="33"/>
      <c r="I300" s="118"/>
      <c r="J300" s="34"/>
      <c r="K300" s="34"/>
      <c r="L300" s="34"/>
      <c r="M300" s="34"/>
      <c r="N300" s="34"/>
      <c r="O300" s="34"/>
      <c r="P300" s="34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803">
        <f>SUM(J307:AM307)</f>
        <v>100000</v>
      </c>
    </row>
    <row r="301" spans="1:40" ht="12.75">
      <c r="A301" s="774"/>
      <c r="B301" s="737"/>
      <c r="C301" s="782"/>
      <c r="D301" s="784"/>
      <c r="E301" s="776"/>
      <c r="F301" s="746">
        <f>SUM(H306:AM306)</f>
        <v>0</v>
      </c>
      <c r="G301" s="15" t="s">
        <v>16</v>
      </c>
      <c r="H301" s="16"/>
      <c r="I301" s="114">
        <v>200000</v>
      </c>
      <c r="J301" s="18">
        <v>50000</v>
      </c>
      <c r="K301" s="18">
        <v>50000</v>
      </c>
      <c r="L301" s="18"/>
      <c r="M301" s="18"/>
      <c r="N301" s="18"/>
      <c r="O301" s="18"/>
      <c r="P301" s="18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779"/>
    </row>
    <row r="302" spans="1:40" ht="12.75">
      <c r="A302" s="774"/>
      <c r="B302" s="737"/>
      <c r="C302" s="782"/>
      <c r="D302" s="784"/>
      <c r="E302" s="776"/>
      <c r="F302" s="781"/>
      <c r="G302" s="15" t="s">
        <v>17</v>
      </c>
      <c r="H302" s="16"/>
      <c r="I302" s="114"/>
      <c r="J302" s="18"/>
      <c r="K302" s="18"/>
      <c r="L302" s="18"/>
      <c r="M302" s="18"/>
      <c r="N302" s="18"/>
      <c r="O302" s="18"/>
      <c r="P302" s="18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779"/>
    </row>
    <row r="303" spans="1:40" ht="12.75">
      <c r="A303" s="774"/>
      <c r="B303" s="737"/>
      <c r="C303" s="782"/>
      <c r="D303" s="784"/>
      <c r="E303" s="727"/>
      <c r="F303" s="21" t="s">
        <v>18</v>
      </c>
      <c r="G303" s="15" t="s">
        <v>19</v>
      </c>
      <c r="H303" s="16"/>
      <c r="I303" s="114"/>
      <c r="J303" s="18"/>
      <c r="K303" s="18"/>
      <c r="L303" s="18"/>
      <c r="M303" s="18"/>
      <c r="N303" s="18"/>
      <c r="O303" s="18"/>
      <c r="P303" s="18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779"/>
    </row>
    <row r="304" spans="1:40" ht="12.75">
      <c r="A304" s="774"/>
      <c r="B304" s="737"/>
      <c r="C304" s="782"/>
      <c r="D304" s="784"/>
      <c r="E304" s="723"/>
      <c r="F304" s="746">
        <f>SUM(H307:AM307)</f>
        <v>300000</v>
      </c>
      <c r="G304" s="15" t="s">
        <v>23</v>
      </c>
      <c r="H304" s="16"/>
      <c r="I304" s="114"/>
      <c r="J304" s="18"/>
      <c r="K304" s="18"/>
      <c r="L304" s="18"/>
      <c r="M304" s="18"/>
      <c r="N304" s="18"/>
      <c r="O304" s="18"/>
      <c r="P304" s="18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779"/>
    </row>
    <row r="305" spans="1:40" ht="12.75">
      <c r="A305" s="774"/>
      <c r="B305" s="737"/>
      <c r="C305" s="782"/>
      <c r="D305" s="784"/>
      <c r="E305" s="776"/>
      <c r="F305" s="781"/>
      <c r="G305" s="15" t="s">
        <v>24</v>
      </c>
      <c r="H305" s="16"/>
      <c r="I305" s="114"/>
      <c r="J305" s="18"/>
      <c r="K305" s="18"/>
      <c r="L305" s="18"/>
      <c r="M305" s="18"/>
      <c r="N305" s="18"/>
      <c r="O305" s="18"/>
      <c r="P305" s="18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779"/>
    </row>
    <row r="306" spans="1:40" ht="12.75">
      <c r="A306" s="774"/>
      <c r="B306" s="737"/>
      <c r="C306" s="782"/>
      <c r="D306" s="784"/>
      <c r="E306" s="776"/>
      <c r="F306" s="21" t="s">
        <v>22</v>
      </c>
      <c r="G306" s="15" t="s">
        <v>25</v>
      </c>
      <c r="H306" s="22">
        <f aca="true" t="shared" si="73" ref="H306:AM306">H300+H302+H304</f>
        <v>0</v>
      </c>
      <c r="I306" s="115">
        <f t="shared" si="73"/>
        <v>0</v>
      </c>
      <c r="J306" s="24">
        <f t="shared" si="73"/>
        <v>0</v>
      </c>
      <c r="K306" s="24">
        <f t="shared" si="73"/>
        <v>0</v>
      </c>
      <c r="L306" s="24">
        <f t="shared" si="73"/>
        <v>0</v>
      </c>
      <c r="M306" s="24">
        <f t="shared" si="73"/>
        <v>0</v>
      </c>
      <c r="N306" s="24">
        <f t="shared" si="73"/>
        <v>0</v>
      </c>
      <c r="O306" s="24">
        <f t="shared" si="73"/>
        <v>0</v>
      </c>
      <c r="P306" s="24">
        <f t="shared" si="73"/>
        <v>0</v>
      </c>
      <c r="Q306" s="24">
        <f t="shared" si="73"/>
        <v>0</v>
      </c>
      <c r="R306" s="24">
        <f t="shared" si="73"/>
        <v>0</v>
      </c>
      <c r="S306" s="24">
        <f t="shared" si="73"/>
        <v>0</v>
      </c>
      <c r="T306" s="24">
        <f t="shared" si="73"/>
        <v>0</v>
      </c>
      <c r="U306" s="24">
        <f t="shared" si="73"/>
        <v>0</v>
      </c>
      <c r="V306" s="24">
        <f t="shared" si="73"/>
        <v>0</v>
      </c>
      <c r="W306" s="24">
        <f t="shared" si="73"/>
        <v>0</v>
      </c>
      <c r="X306" s="24">
        <f t="shared" si="73"/>
        <v>0</v>
      </c>
      <c r="Y306" s="24">
        <f t="shared" si="73"/>
        <v>0</v>
      </c>
      <c r="Z306" s="24">
        <f t="shared" si="73"/>
        <v>0</v>
      </c>
      <c r="AA306" s="24">
        <f t="shared" si="73"/>
        <v>0</v>
      </c>
      <c r="AB306" s="24">
        <f t="shared" si="73"/>
        <v>0</v>
      </c>
      <c r="AC306" s="24">
        <f t="shared" si="73"/>
        <v>0</v>
      </c>
      <c r="AD306" s="24">
        <f t="shared" si="73"/>
        <v>0</v>
      </c>
      <c r="AE306" s="24">
        <f t="shared" si="73"/>
        <v>0</v>
      </c>
      <c r="AF306" s="24">
        <f t="shared" si="73"/>
        <v>0</v>
      </c>
      <c r="AG306" s="24">
        <f t="shared" si="73"/>
        <v>0</v>
      </c>
      <c r="AH306" s="24">
        <f t="shared" si="73"/>
        <v>0</v>
      </c>
      <c r="AI306" s="24">
        <f t="shared" si="73"/>
        <v>0</v>
      </c>
      <c r="AJ306" s="24">
        <f t="shared" si="73"/>
        <v>0</v>
      </c>
      <c r="AK306" s="24">
        <f t="shared" si="73"/>
        <v>0</v>
      </c>
      <c r="AL306" s="24">
        <f t="shared" si="73"/>
        <v>0</v>
      </c>
      <c r="AM306" s="24">
        <f t="shared" si="73"/>
        <v>0</v>
      </c>
      <c r="AN306" s="779"/>
    </row>
    <row r="307" spans="1:40" ht="13.5" thickBot="1">
      <c r="A307" s="806"/>
      <c r="B307" s="738"/>
      <c r="C307" s="805"/>
      <c r="D307" s="771"/>
      <c r="E307" s="777"/>
      <c r="F307" s="116">
        <f>F301+F304</f>
        <v>300000</v>
      </c>
      <c r="G307" s="36" t="s">
        <v>26</v>
      </c>
      <c r="H307" s="37">
        <f aca="true" t="shared" si="74" ref="H307:AM307">H301+H303+H305</f>
        <v>0</v>
      </c>
      <c r="I307" s="119">
        <f t="shared" si="74"/>
        <v>200000</v>
      </c>
      <c r="J307" s="29">
        <f t="shared" si="74"/>
        <v>50000</v>
      </c>
      <c r="K307" s="29">
        <f t="shared" si="74"/>
        <v>50000</v>
      </c>
      <c r="L307" s="29">
        <f t="shared" si="74"/>
        <v>0</v>
      </c>
      <c r="M307" s="29">
        <f t="shared" si="74"/>
        <v>0</v>
      </c>
      <c r="N307" s="29">
        <f t="shared" si="74"/>
        <v>0</v>
      </c>
      <c r="O307" s="29">
        <f t="shared" si="74"/>
        <v>0</v>
      </c>
      <c r="P307" s="29">
        <f t="shared" si="74"/>
        <v>0</v>
      </c>
      <c r="Q307" s="29">
        <f t="shared" si="74"/>
        <v>0</v>
      </c>
      <c r="R307" s="29">
        <f t="shared" si="74"/>
        <v>0</v>
      </c>
      <c r="S307" s="29">
        <f t="shared" si="74"/>
        <v>0</v>
      </c>
      <c r="T307" s="29">
        <f t="shared" si="74"/>
        <v>0</v>
      </c>
      <c r="U307" s="29">
        <f t="shared" si="74"/>
        <v>0</v>
      </c>
      <c r="V307" s="29">
        <f t="shared" si="74"/>
        <v>0</v>
      </c>
      <c r="W307" s="29">
        <f t="shared" si="74"/>
        <v>0</v>
      </c>
      <c r="X307" s="29">
        <f t="shared" si="74"/>
        <v>0</v>
      </c>
      <c r="Y307" s="29">
        <f t="shared" si="74"/>
        <v>0</v>
      </c>
      <c r="Z307" s="29">
        <f t="shared" si="74"/>
        <v>0</v>
      </c>
      <c r="AA307" s="29">
        <f t="shared" si="74"/>
        <v>0</v>
      </c>
      <c r="AB307" s="29">
        <f t="shared" si="74"/>
        <v>0</v>
      </c>
      <c r="AC307" s="29">
        <f t="shared" si="74"/>
        <v>0</v>
      </c>
      <c r="AD307" s="29">
        <f t="shared" si="74"/>
        <v>0</v>
      </c>
      <c r="AE307" s="29">
        <f t="shared" si="74"/>
        <v>0</v>
      </c>
      <c r="AF307" s="29">
        <f t="shared" si="74"/>
        <v>0</v>
      </c>
      <c r="AG307" s="29">
        <f t="shared" si="74"/>
        <v>0</v>
      </c>
      <c r="AH307" s="29">
        <f t="shared" si="74"/>
        <v>0</v>
      </c>
      <c r="AI307" s="29">
        <f t="shared" si="74"/>
        <v>0</v>
      </c>
      <c r="AJ307" s="29">
        <f t="shared" si="74"/>
        <v>0</v>
      </c>
      <c r="AK307" s="29">
        <f t="shared" si="74"/>
        <v>0</v>
      </c>
      <c r="AL307" s="29">
        <f t="shared" si="74"/>
        <v>0</v>
      </c>
      <c r="AM307" s="29">
        <f t="shared" si="74"/>
        <v>0</v>
      </c>
      <c r="AN307" s="780"/>
    </row>
    <row r="308" spans="1:40" ht="12.75" customHeight="1">
      <c r="A308" s="773">
        <v>38</v>
      </c>
      <c r="B308" s="752" t="s">
        <v>151</v>
      </c>
      <c r="C308" s="804">
        <v>90095</v>
      </c>
      <c r="D308" s="783" t="s">
        <v>164</v>
      </c>
      <c r="E308" s="775">
        <v>2009</v>
      </c>
      <c r="F308" s="8" t="s">
        <v>14</v>
      </c>
      <c r="G308" s="32" t="s">
        <v>15</v>
      </c>
      <c r="H308" s="33"/>
      <c r="I308" s="118"/>
      <c r="J308" s="34"/>
      <c r="K308" s="34"/>
      <c r="L308" s="34"/>
      <c r="M308" s="34"/>
      <c r="N308" s="34"/>
      <c r="O308" s="34"/>
      <c r="P308" s="34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803">
        <f>SUM(J315:AM315)</f>
        <v>6077875</v>
      </c>
    </row>
    <row r="309" spans="1:40" ht="12.75">
      <c r="A309" s="774"/>
      <c r="B309" s="737"/>
      <c r="C309" s="782"/>
      <c r="D309" s="784"/>
      <c r="E309" s="776"/>
      <c r="F309" s="746">
        <f>SUM(H314:AM314)</f>
        <v>0</v>
      </c>
      <c r="G309" s="15" t="s">
        <v>16</v>
      </c>
      <c r="H309" s="16">
        <f>347395+61305</f>
        <v>408700</v>
      </c>
      <c r="I309" s="114">
        <f>200000+100000</f>
        <v>300000</v>
      </c>
      <c r="J309" s="18">
        <f>4789495+1288380</f>
        <v>6077875</v>
      </c>
      <c r="K309" s="18"/>
      <c r="L309" s="18"/>
      <c r="M309" s="18"/>
      <c r="N309" s="18"/>
      <c r="O309" s="18"/>
      <c r="P309" s="18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779"/>
    </row>
    <row r="310" spans="1:40" ht="12.75">
      <c r="A310" s="774"/>
      <c r="B310" s="737"/>
      <c r="C310" s="782"/>
      <c r="D310" s="784"/>
      <c r="E310" s="776"/>
      <c r="F310" s="781"/>
      <c r="G310" s="15" t="s">
        <v>17</v>
      </c>
      <c r="H310" s="16"/>
      <c r="I310" s="114"/>
      <c r="J310" s="18"/>
      <c r="K310" s="18"/>
      <c r="L310" s="18"/>
      <c r="M310" s="18"/>
      <c r="N310" s="18"/>
      <c r="O310" s="18"/>
      <c r="P310" s="18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779"/>
    </row>
    <row r="311" spans="1:40" ht="12.75">
      <c r="A311" s="774"/>
      <c r="B311" s="737"/>
      <c r="C311" s="782"/>
      <c r="D311" s="784"/>
      <c r="E311" s="727"/>
      <c r="F311" s="21" t="s">
        <v>18</v>
      </c>
      <c r="G311" s="15" t="s">
        <v>19</v>
      </c>
      <c r="H311" s="16"/>
      <c r="I311" s="114"/>
      <c r="J311" s="18"/>
      <c r="K311" s="18"/>
      <c r="L311" s="18"/>
      <c r="M311" s="18"/>
      <c r="N311" s="18"/>
      <c r="O311" s="18"/>
      <c r="P311" s="18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779"/>
    </row>
    <row r="312" spans="1:40" ht="12.75">
      <c r="A312" s="774"/>
      <c r="B312" s="737"/>
      <c r="C312" s="782"/>
      <c r="D312" s="784"/>
      <c r="E312" s="723">
        <v>2012</v>
      </c>
      <c r="F312" s="746">
        <f>SUM(H315:AM315)</f>
        <v>6786575</v>
      </c>
      <c r="G312" s="15" t="s">
        <v>23</v>
      </c>
      <c r="H312" s="16"/>
      <c r="I312" s="114"/>
      <c r="J312" s="18"/>
      <c r="K312" s="18"/>
      <c r="L312" s="18"/>
      <c r="M312" s="18"/>
      <c r="N312" s="18"/>
      <c r="O312" s="18"/>
      <c r="P312" s="18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779"/>
    </row>
    <row r="313" spans="1:40" ht="12.75">
      <c r="A313" s="774"/>
      <c r="B313" s="737"/>
      <c r="C313" s="782"/>
      <c r="D313" s="784"/>
      <c r="E313" s="776"/>
      <c r="F313" s="781"/>
      <c r="G313" s="15" t="s">
        <v>24</v>
      </c>
      <c r="H313" s="16"/>
      <c r="I313" s="114"/>
      <c r="J313" s="18"/>
      <c r="K313" s="18"/>
      <c r="L313" s="18"/>
      <c r="M313" s="18"/>
      <c r="N313" s="18"/>
      <c r="O313" s="18"/>
      <c r="P313" s="18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779"/>
    </row>
    <row r="314" spans="1:40" ht="12.75">
      <c r="A314" s="774"/>
      <c r="B314" s="737"/>
      <c r="C314" s="782"/>
      <c r="D314" s="784"/>
      <c r="E314" s="776"/>
      <c r="F314" s="21" t="s">
        <v>22</v>
      </c>
      <c r="G314" s="15" t="s">
        <v>25</v>
      </c>
      <c r="H314" s="22">
        <f aca="true" t="shared" si="75" ref="H314:AM314">H308+H310+H312</f>
        <v>0</v>
      </c>
      <c r="I314" s="115">
        <f t="shared" si="75"/>
        <v>0</v>
      </c>
      <c r="J314" s="24">
        <f t="shared" si="75"/>
        <v>0</v>
      </c>
      <c r="K314" s="24">
        <f t="shared" si="75"/>
        <v>0</v>
      </c>
      <c r="L314" s="24">
        <f t="shared" si="75"/>
        <v>0</v>
      </c>
      <c r="M314" s="24">
        <f t="shared" si="75"/>
        <v>0</v>
      </c>
      <c r="N314" s="24">
        <f t="shared" si="75"/>
        <v>0</v>
      </c>
      <c r="O314" s="24">
        <f t="shared" si="75"/>
        <v>0</v>
      </c>
      <c r="P314" s="24">
        <f t="shared" si="75"/>
        <v>0</v>
      </c>
      <c r="Q314" s="24">
        <f t="shared" si="75"/>
        <v>0</v>
      </c>
      <c r="R314" s="24">
        <f t="shared" si="75"/>
        <v>0</v>
      </c>
      <c r="S314" s="24">
        <f t="shared" si="75"/>
        <v>0</v>
      </c>
      <c r="T314" s="24">
        <f t="shared" si="75"/>
        <v>0</v>
      </c>
      <c r="U314" s="24">
        <f t="shared" si="75"/>
        <v>0</v>
      </c>
      <c r="V314" s="24">
        <f t="shared" si="75"/>
        <v>0</v>
      </c>
      <c r="W314" s="24">
        <f t="shared" si="75"/>
        <v>0</v>
      </c>
      <c r="X314" s="24">
        <f t="shared" si="75"/>
        <v>0</v>
      </c>
      <c r="Y314" s="24">
        <f t="shared" si="75"/>
        <v>0</v>
      </c>
      <c r="Z314" s="24">
        <f t="shared" si="75"/>
        <v>0</v>
      </c>
      <c r="AA314" s="24">
        <f t="shared" si="75"/>
        <v>0</v>
      </c>
      <c r="AB314" s="24">
        <f t="shared" si="75"/>
        <v>0</v>
      </c>
      <c r="AC314" s="24">
        <f t="shared" si="75"/>
        <v>0</v>
      </c>
      <c r="AD314" s="24">
        <f t="shared" si="75"/>
        <v>0</v>
      </c>
      <c r="AE314" s="24">
        <f t="shared" si="75"/>
        <v>0</v>
      </c>
      <c r="AF314" s="24">
        <f t="shared" si="75"/>
        <v>0</v>
      </c>
      <c r="AG314" s="24">
        <f t="shared" si="75"/>
        <v>0</v>
      </c>
      <c r="AH314" s="24">
        <f t="shared" si="75"/>
        <v>0</v>
      </c>
      <c r="AI314" s="24">
        <f t="shared" si="75"/>
        <v>0</v>
      </c>
      <c r="AJ314" s="24">
        <f t="shared" si="75"/>
        <v>0</v>
      </c>
      <c r="AK314" s="24">
        <f t="shared" si="75"/>
        <v>0</v>
      </c>
      <c r="AL314" s="24">
        <f t="shared" si="75"/>
        <v>0</v>
      </c>
      <c r="AM314" s="24">
        <f t="shared" si="75"/>
        <v>0</v>
      </c>
      <c r="AN314" s="779"/>
    </row>
    <row r="315" spans="1:40" ht="18.75" customHeight="1" thickBot="1">
      <c r="A315" s="774"/>
      <c r="B315" s="738"/>
      <c r="C315" s="805"/>
      <c r="D315" s="784"/>
      <c r="E315" s="777"/>
      <c r="F315" s="116">
        <f>F309+F312</f>
        <v>6786575</v>
      </c>
      <c r="G315" s="36" t="s">
        <v>26</v>
      </c>
      <c r="H315" s="37">
        <f aca="true" t="shared" si="76" ref="H315:AM315">H309+H311+H313</f>
        <v>408700</v>
      </c>
      <c r="I315" s="119">
        <f t="shared" si="76"/>
        <v>300000</v>
      </c>
      <c r="J315" s="29">
        <f t="shared" si="76"/>
        <v>6077875</v>
      </c>
      <c r="K315" s="29">
        <f t="shared" si="76"/>
        <v>0</v>
      </c>
      <c r="L315" s="29">
        <f t="shared" si="76"/>
        <v>0</v>
      </c>
      <c r="M315" s="29">
        <f t="shared" si="76"/>
        <v>0</v>
      </c>
      <c r="N315" s="29">
        <f t="shared" si="76"/>
        <v>0</v>
      </c>
      <c r="O315" s="29">
        <f t="shared" si="76"/>
        <v>0</v>
      </c>
      <c r="P315" s="29">
        <f t="shared" si="76"/>
        <v>0</v>
      </c>
      <c r="Q315" s="29">
        <f t="shared" si="76"/>
        <v>0</v>
      </c>
      <c r="R315" s="29">
        <f t="shared" si="76"/>
        <v>0</v>
      </c>
      <c r="S315" s="29">
        <f t="shared" si="76"/>
        <v>0</v>
      </c>
      <c r="T315" s="29">
        <f t="shared" si="76"/>
        <v>0</v>
      </c>
      <c r="U315" s="29">
        <f t="shared" si="76"/>
        <v>0</v>
      </c>
      <c r="V315" s="29">
        <f t="shared" si="76"/>
        <v>0</v>
      </c>
      <c r="W315" s="29">
        <f t="shared" si="76"/>
        <v>0</v>
      </c>
      <c r="X315" s="29">
        <f t="shared" si="76"/>
        <v>0</v>
      </c>
      <c r="Y315" s="29">
        <f t="shared" si="76"/>
        <v>0</v>
      </c>
      <c r="Z315" s="29">
        <f t="shared" si="76"/>
        <v>0</v>
      </c>
      <c r="AA315" s="29">
        <f t="shared" si="76"/>
        <v>0</v>
      </c>
      <c r="AB315" s="29">
        <f t="shared" si="76"/>
        <v>0</v>
      </c>
      <c r="AC315" s="29">
        <f t="shared" si="76"/>
        <v>0</v>
      </c>
      <c r="AD315" s="29">
        <f t="shared" si="76"/>
        <v>0</v>
      </c>
      <c r="AE315" s="29">
        <f t="shared" si="76"/>
        <v>0</v>
      </c>
      <c r="AF315" s="29">
        <f t="shared" si="76"/>
        <v>0</v>
      </c>
      <c r="AG315" s="29">
        <f t="shared" si="76"/>
        <v>0</v>
      </c>
      <c r="AH315" s="29">
        <f t="shared" si="76"/>
        <v>0</v>
      </c>
      <c r="AI315" s="29">
        <f t="shared" si="76"/>
        <v>0</v>
      </c>
      <c r="AJ315" s="29">
        <f t="shared" si="76"/>
        <v>0</v>
      </c>
      <c r="AK315" s="29">
        <f t="shared" si="76"/>
        <v>0</v>
      </c>
      <c r="AL315" s="29">
        <f t="shared" si="76"/>
        <v>0</v>
      </c>
      <c r="AM315" s="29">
        <f t="shared" si="76"/>
        <v>0</v>
      </c>
      <c r="AN315" s="780"/>
    </row>
    <row r="316" spans="1:40" ht="12.75" customHeight="1">
      <c r="A316" s="773">
        <v>39</v>
      </c>
      <c r="B316" s="737" t="s">
        <v>152</v>
      </c>
      <c r="C316" s="782">
        <v>90095</v>
      </c>
      <c r="D316" s="783" t="s">
        <v>164</v>
      </c>
      <c r="E316" s="776">
        <v>2009</v>
      </c>
      <c r="F316" s="20" t="s">
        <v>14</v>
      </c>
      <c r="G316" s="9" t="s">
        <v>15</v>
      </c>
      <c r="H316" s="10"/>
      <c r="I316" s="113"/>
      <c r="J316" s="12"/>
      <c r="K316" s="12"/>
      <c r="L316" s="12"/>
      <c r="M316" s="12"/>
      <c r="N316" s="12"/>
      <c r="O316" s="12"/>
      <c r="P316" s="12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779">
        <f>SUM(J323:AM323)</f>
        <v>5949189</v>
      </c>
    </row>
    <row r="317" spans="1:40" ht="12.75">
      <c r="A317" s="774"/>
      <c r="B317" s="737"/>
      <c r="C317" s="782"/>
      <c r="D317" s="784"/>
      <c r="E317" s="776"/>
      <c r="F317" s="746">
        <f>SUM(H322:AM322)</f>
        <v>0</v>
      </c>
      <c r="G317" s="15" t="s">
        <v>16</v>
      </c>
      <c r="H317" s="16">
        <v>351360</v>
      </c>
      <c r="I317" s="114">
        <v>500000</v>
      </c>
      <c r="J317" s="18">
        <v>5949189</v>
      </c>
      <c r="K317" s="18"/>
      <c r="L317" s="18"/>
      <c r="M317" s="18"/>
      <c r="N317" s="18"/>
      <c r="O317" s="18"/>
      <c r="P317" s="18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779"/>
    </row>
    <row r="318" spans="1:40" ht="12.75">
      <c r="A318" s="774"/>
      <c r="B318" s="737"/>
      <c r="C318" s="782"/>
      <c r="D318" s="784"/>
      <c r="E318" s="776"/>
      <c r="F318" s="781"/>
      <c r="G318" s="15" t="s">
        <v>17</v>
      </c>
      <c r="H318" s="16"/>
      <c r="I318" s="114"/>
      <c r="J318" s="18"/>
      <c r="K318" s="18"/>
      <c r="L318" s="18"/>
      <c r="M318" s="18"/>
      <c r="N318" s="18"/>
      <c r="O318" s="18"/>
      <c r="P318" s="18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779"/>
    </row>
    <row r="319" spans="1:40" ht="12.75">
      <c r="A319" s="774"/>
      <c r="B319" s="737"/>
      <c r="C319" s="782"/>
      <c r="D319" s="784"/>
      <c r="E319" s="727"/>
      <c r="F319" s="21" t="s">
        <v>18</v>
      </c>
      <c r="G319" s="15" t="s">
        <v>19</v>
      </c>
      <c r="H319" s="16"/>
      <c r="I319" s="114"/>
      <c r="J319" s="18"/>
      <c r="K319" s="18"/>
      <c r="L319" s="18"/>
      <c r="M319" s="18"/>
      <c r="N319" s="18"/>
      <c r="O319" s="18"/>
      <c r="P319" s="18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779"/>
    </row>
    <row r="320" spans="1:40" ht="12.75">
      <c r="A320" s="774"/>
      <c r="B320" s="737"/>
      <c r="C320" s="782"/>
      <c r="D320" s="784"/>
      <c r="E320" s="723">
        <v>2012</v>
      </c>
      <c r="F320" s="746">
        <f>SUM(H323:AM323)</f>
        <v>6800549</v>
      </c>
      <c r="G320" s="15" t="s">
        <v>23</v>
      </c>
      <c r="H320" s="16"/>
      <c r="I320" s="114"/>
      <c r="J320" s="18"/>
      <c r="K320" s="18"/>
      <c r="L320" s="18"/>
      <c r="M320" s="18"/>
      <c r="N320" s="18"/>
      <c r="O320" s="18"/>
      <c r="P320" s="18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779"/>
    </row>
    <row r="321" spans="1:40" ht="12.75">
      <c r="A321" s="774"/>
      <c r="B321" s="737"/>
      <c r="C321" s="782"/>
      <c r="D321" s="784"/>
      <c r="E321" s="776"/>
      <c r="F321" s="781"/>
      <c r="G321" s="15" t="s">
        <v>24</v>
      </c>
      <c r="H321" s="16"/>
      <c r="I321" s="114"/>
      <c r="J321" s="18"/>
      <c r="K321" s="18"/>
      <c r="L321" s="18"/>
      <c r="M321" s="18"/>
      <c r="N321" s="18"/>
      <c r="O321" s="18"/>
      <c r="P321" s="18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779"/>
    </row>
    <row r="322" spans="1:40" ht="12.75">
      <c r="A322" s="774"/>
      <c r="B322" s="737"/>
      <c r="C322" s="782"/>
      <c r="D322" s="784"/>
      <c r="E322" s="776"/>
      <c r="F322" s="21" t="s">
        <v>22</v>
      </c>
      <c r="G322" s="15" t="s">
        <v>25</v>
      </c>
      <c r="H322" s="22">
        <f aca="true" t="shared" si="77" ref="H322:AM322">H316+H318+H320</f>
        <v>0</v>
      </c>
      <c r="I322" s="115">
        <f t="shared" si="77"/>
        <v>0</v>
      </c>
      <c r="J322" s="24">
        <f t="shared" si="77"/>
        <v>0</v>
      </c>
      <c r="K322" s="24">
        <f t="shared" si="77"/>
        <v>0</v>
      </c>
      <c r="L322" s="24">
        <f t="shared" si="77"/>
        <v>0</v>
      </c>
      <c r="M322" s="24">
        <f t="shared" si="77"/>
        <v>0</v>
      </c>
      <c r="N322" s="24">
        <f t="shared" si="77"/>
        <v>0</v>
      </c>
      <c r="O322" s="24">
        <f t="shared" si="77"/>
        <v>0</v>
      </c>
      <c r="P322" s="24">
        <f t="shared" si="77"/>
        <v>0</v>
      </c>
      <c r="Q322" s="24">
        <f t="shared" si="77"/>
        <v>0</v>
      </c>
      <c r="R322" s="24">
        <f t="shared" si="77"/>
        <v>0</v>
      </c>
      <c r="S322" s="24">
        <f t="shared" si="77"/>
        <v>0</v>
      </c>
      <c r="T322" s="24">
        <f t="shared" si="77"/>
        <v>0</v>
      </c>
      <c r="U322" s="24">
        <f t="shared" si="77"/>
        <v>0</v>
      </c>
      <c r="V322" s="24">
        <f t="shared" si="77"/>
        <v>0</v>
      </c>
      <c r="W322" s="24">
        <f t="shared" si="77"/>
        <v>0</v>
      </c>
      <c r="X322" s="24">
        <f t="shared" si="77"/>
        <v>0</v>
      </c>
      <c r="Y322" s="24">
        <f t="shared" si="77"/>
        <v>0</v>
      </c>
      <c r="Z322" s="24">
        <f t="shared" si="77"/>
        <v>0</v>
      </c>
      <c r="AA322" s="24">
        <f t="shared" si="77"/>
        <v>0</v>
      </c>
      <c r="AB322" s="24">
        <f t="shared" si="77"/>
        <v>0</v>
      </c>
      <c r="AC322" s="24">
        <f t="shared" si="77"/>
        <v>0</v>
      </c>
      <c r="AD322" s="24">
        <f t="shared" si="77"/>
        <v>0</v>
      </c>
      <c r="AE322" s="24">
        <f t="shared" si="77"/>
        <v>0</v>
      </c>
      <c r="AF322" s="24">
        <f t="shared" si="77"/>
        <v>0</v>
      </c>
      <c r="AG322" s="24">
        <f t="shared" si="77"/>
        <v>0</v>
      </c>
      <c r="AH322" s="24">
        <f t="shared" si="77"/>
        <v>0</v>
      </c>
      <c r="AI322" s="24">
        <f t="shared" si="77"/>
        <v>0</v>
      </c>
      <c r="AJ322" s="24">
        <f t="shared" si="77"/>
        <v>0</v>
      </c>
      <c r="AK322" s="24">
        <f t="shared" si="77"/>
        <v>0</v>
      </c>
      <c r="AL322" s="24">
        <f t="shared" si="77"/>
        <v>0</v>
      </c>
      <c r="AM322" s="24">
        <f t="shared" si="77"/>
        <v>0</v>
      </c>
      <c r="AN322" s="779"/>
    </row>
    <row r="323" spans="1:40" ht="16.5" customHeight="1" thickBot="1">
      <c r="A323" s="774"/>
      <c r="B323" s="737"/>
      <c r="C323" s="782"/>
      <c r="D323" s="784"/>
      <c r="E323" s="776"/>
      <c r="F323" s="116">
        <f>F317+F320</f>
        <v>6800549</v>
      </c>
      <c r="G323" s="26" t="s">
        <v>26</v>
      </c>
      <c r="H323" s="37">
        <f aca="true" t="shared" si="78" ref="H323:AM323">H317+H319+H321</f>
        <v>351360</v>
      </c>
      <c r="I323" s="117">
        <f t="shared" si="78"/>
        <v>500000</v>
      </c>
      <c r="J323" s="30">
        <f t="shared" si="78"/>
        <v>5949189</v>
      </c>
      <c r="K323" s="30">
        <f t="shared" si="78"/>
        <v>0</v>
      </c>
      <c r="L323" s="30">
        <f t="shared" si="78"/>
        <v>0</v>
      </c>
      <c r="M323" s="30">
        <f t="shared" si="78"/>
        <v>0</v>
      </c>
      <c r="N323" s="30">
        <f t="shared" si="78"/>
        <v>0</v>
      </c>
      <c r="O323" s="30">
        <f t="shared" si="78"/>
        <v>0</v>
      </c>
      <c r="P323" s="30">
        <f t="shared" si="78"/>
        <v>0</v>
      </c>
      <c r="Q323" s="30">
        <f t="shared" si="78"/>
        <v>0</v>
      </c>
      <c r="R323" s="30">
        <f t="shared" si="78"/>
        <v>0</v>
      </c>
      <c r="S323" s="30">
        <f t="shared" si="78"/>
        <v>0</v>
      </c>
      <c r="T323" s="30">
        <f t="shared" si="78"/>
        <v>0</v>
      </c>
      <c r="U323" s="30">
        <f t="shared" si="78"/>
        <v>0</v>
      </c>
      <c r="V323" s="30">
        <f t="shared" si="78"/>
        <v>0</v>
      </c>
      <c r="W323" s="30">
        <f t="shared" si="78"/>
        <v>0</v>
      </c>
      <c r="X323" s="30">
        <f t="shared" si="78"/>
        <v>0</v>
      </c>
      <c r="Y323" s="30">
        <f t="shared" si="78"/>
        <v>0</v>
      </c>
      <c r="Z323" s="30">
        <f t="shared" si="78"/>
        <v>0</v>
      </c>
      <c r="AA323" s="30">
        <f t="shared" si="78"/>
        <v>0</v>
      </c>
      <c r="AB323" s="30">
        <f t="shared" si="78"/>
        <v>0</v>
      </c>
      <c r="AC323" s="30">
        <f t="shared" si="78"/>
        <v>0</v>
      </c>
      <c r="AD323" s="30">
        <f t="shared" si="78"/>
        <v>0</v>
      </c>
      <c r="AE323" s="30">
        <f t="shared" si="78"/>
        <v>0</v>
      </c>
      <c r="AF323" s="30">
        <f t="shared" si="78"/>
        <v>0</v>
      </c>
      <c r="AG323" s="30">
        <f t="shared" si="78"/>
        <v>0</v>
      </c>
      <c r="AH323" s="30">
        <f t="shared" si="78"/>
        <v>0</v>
      </c>
      <c r="AI323" s="30">
        <f t="shared" si="78"/>
        <v>0</v>
      </c>
      <c r="AJ323" s="30">
        <f t="shared" si="78"/>
        <v>0</v>
      </c>
      <c r="AK323" s="30">
        <f t="shared" si="78"/>
        <v>0</v>
      </c>
      <c r="AL323" s="30">
        <f t="shared" si="78"/>
        <v>0</v>
      </c>
      <c r="AM323" s="30">
        <f t="shared" si="78"/>
        <v>0</v>
      </c>
      <c r="AN323" s="780"/>
    </row>
    <row r="324" spans="1:40" ht="12.75" customHeight="1">
      <c r="A324" s="773">
        <v>40</v>
      </c>
      <c r="B324" s="752" t="s">
        <v>148</v>
      </c>
      <c r="C324" s="804">
        <v>90095</v>
      </c>
      <c r="D324" s="783" t="s">
        <v>164</v>
      </c>
      <c r="E324" s="775">
        <v>2011</v>
      </c>
      <c r="F324" s="8" t="s">
        <v>14</v>
      </c>
      <c r="G324" s="32" t="s">
        <v>15</v>
      </c>
      <c r="H324" s="33"/>
      <c r="I324" s="118"/>
      <c r="J324" s="34"/>
      <c r="K324" s="34"/>
      <c r="L324" s="34"/>
      <c r="M324" s="34"/>
      <c r="N324" s="34"/>
      <c r="O324" s="34"/>
      <c r="P324" s="34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803">
        <f>SUM(J331:AM331)</f>
        <v>150000</v>
      </c>
    </row>
    <row r="325" spans="1:40" ht="12.75">
      <c r="A325" s="774"/>
      <c r="B325" s="737"/>
      <c r="C325" s="782"/>
      <c r="D325" s="784"/>
      <c r="E325" s="776"/>
      <c r="F325" s="746">
        <f>SUM(H330:AM330)</f>
        <v>0</v>
      </c>
      <c r="G325" s="15" t="s">
        <v>16</v>
      </c>
      <c r="H325" s="16"/>
      <c r="I325" s="114">
        <v>50000</v>
      </c>
      <c r="J325" s="18">
        <v>50000</v>
      </c>
      <c r="K325" s="18">
        <v>100000</v>
      </c>
      <c r="L325" s="18"/>
      <c r="M325" s="18"/>
      <c r="N325" s="18"/>
      <c r="O325" s="18"/>
      <c r="P325" s="18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779"/>
    </row>
    <row r="326" spans="1:40" ht="12.75">
      <c r="A326" s="774"/>
      <c r="B326" s="737"/>
      <c r="C326" s="782"/>
      <c r="D326" s="784"/>
      <c r="E326" s="776"/>
      <c r="F326" s="781"/>
      <c r="G326" s="15" t="s">
        <v>17</v>
      </c>
      <c r="H326" s="16"/>
      <c r="I326" s="114"/>
      <c r="J326" s="18"/>
      <c r="K326" s="18"/>
      <c r="L326" s="18"/>
      <c r="M326" s="18"/>
      <c r="N326" s="18"/>
      <c r="O326" s="18"/>
      <c r="P326" s="18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779"/>
    </row>
    <row r="327" spans="1:40" ht="12.75">
      <c r="A327" s="774"/>
      <c r="B327" s="737"/>
      <c r="C327" s="782"/>
      <c r="D327" s="784"/>
      <c r="E327" s="727"/>
      <c r="F327" s="21" t="s">
        <v>18</v>
      </c>
      <c r="G327" s="15" t="s">
        <v>19</v>
      </c>
      <c r="H327" s="16"/>
      <c r="I327" s="114"/>
      <c r="J327" s="18"/>
      <c r="K327" s="18"/>
      <c r="L327" s="18"/>
      <c r="M327" s="18"/>
      <c r="N327" s="18"/>
      <c r="O327" s="18"/>
      <c r="P327" s="18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779"/>
    </row>
    <row r="328" spans="1:40" ht="12.75">
      <c r="A328" s="774"/>
      <c r="B328" s="737"/>
      <c r="C328" s="782"/>
      <c r="D328" s="784"/>
      <c r="E328" s="723">
        <v>2013</v>
      </c>
      <c r="F328" s="746">
        <f>SUM(H331:AM331)</f>
        <v>200000</v>
      </c>
      <c r="G328" s="15" t="s">
        <v>23</v>
      </c>
      <c r="H328" s="16"/>
      <c r="I328" s="114"/>
      <c r="J328" s="18"/>
      <c r="K328" s="18"/>
      <c r="L328" s="18"/>
      <c r="M328" s="18"/>
      <c r="N328" s="18"/>
      <c r="O328" s="18"/>
      <c r="P328" s="18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779"/>
    </row>
    <row r="329" spans="1:40" ht="12.75">
      <c r="A329" s="774"/>
      <c r="B329" s="737"/>
      <c r="C329" s="782"/>
      <c r="D329" s="784"/>
      <c r="E329" s="776"/>
      <c r="F329" s="781"/>
      <c r="G329" s="15" t="s">
        <v>24</v>
      </c>
      <c r="H329" s="16"/>
      <c r="I329" s="114"/>
      <c r="J329" s="18"/>
      <c r="K329" s="18"/>
      <c r="L329" s="18"/>
      <c r="M329" s="18"/>
      <c r="N329" s="18"/>
      <c r="O329" s="18"/>
      <c r="P329" s="18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779"/>
    </row>
    <row r="330" spans="1:40" ht="12.75">
      <c r="A330" s="774"/>
      <c r="B330" s="737"/>
      <c r="C330" s="782"/>
      <c r="D330" s="784"/>
      <c r="E330" s="776"/>
      <c r="F330" s="21" t="s">
        <v>22</v>
      </c>
      <c r="G330" s="15" t="s">
        <v>25</v>
      </c>
      <c r="H330" s="22">
        <f aca="true" t="shared" si="79" ref="H330:AM330">H324+H326+H328</f>
        <v>0</v>
      </c>
      <c r="I330" s="115">
        <f t="shared" si="79"/>
        <v>0</v>
      </c>
      <c r="J330" s="24">
        <f t="shared" si="79"/>
        <v>0</v>
      </c>
      <c r="K330" s="24">
        <f t="shared" si="79"/>
        <v>0</v>
      </c>
      <c r="L330" s="24">
        <f t="shared" si="79"/>
        <v>0</v>
      </c>
      <c r="M330" s="24">
        <f t="shared" si="79"/>
        <v>0</v>
      </c>
      <c r="N330" s="24">
        <f t="shared" si="79"/>
        <v>0</v>
      </c>
      <c r="O330" s="24">
        <f t="shared" si="79"/>
        <v>0</v>
      </c>
      <c r="P330" s="24">
        <f t="shared" si="79"/>
        <v>0</v>
      </c>
      <c r="Q330" s="24">
        <f t="shared" si="79"/>
        <v>0</v>
      </c>
      <c r="R330" s="24">
        <f t="shared" si="79"/>
        <v>0</v>
      </c>
      <c r="S330" s="24">
        <f t="shared" si="79"/>
        <v>0</v>
      </c>
      <c r="T330" s="24">
        <f t="shared" si="79"/>
        <v>0</v>
      </c>
      <c r="U330" s="24">
        <f t="shared" si="79"/>
        <v>0</v>
      </c>
      <c r="V330" s="24">
        <f t="shared" si="79"/>
        <v>0</v>
      </c>
      <c r="W330" s="24">
        <f t="shared" si="79"/>
        <v>0</v>
      </c>
      <c r="X330" s="24">
        <f t="shared" si="79"/>
        <v>0</v>
      </c>
      <c r="Y330" s="24">
        <f t="shared" si="79"/>
        <v>0</v>
      </c>
      <c r="Z330" s="24">
        <f t="shared" si="79"/>
        <v>0</v>
      </c>
      <c r="AA330" s="24">
        <f t="shared" si="79"/>
        <v>0</v>
      </c>
      <c r="AB330" s="24">
        <f t="shared" si="79"/>
        <v>0</v>
      </c>
      <c r="AC330" s="24">
        <f t="shared" si="79"/>
        <v>0</v>
      </c>
      <c r="AD330" s="24">
        <f t="shared" si="79"/>
        <v>0</v>
      </c>
      <c r="AE330" s="24">
        <f t="shared" si="79"/>
        <v>0</v>
      </c>
      <c r="AF330" s="24">
        <f t="shared" si="79"/>
        <v>0</v>
      </c>
      <c r="AG330" s="24">
        <f t="shared" si="79"/>
        <v>0</v>
      </c>
      <c r="AH330" s="24">
        <f t="shared" si="79"/>
        <v>0</v>
      </c>
      <c r="AI330" s="24">
        <f t="shared" si="79"/>
        <v>0</v>
      </c>
      <c r="AJ330" s="24">
        <f t="shared" si="79"/>
        <v>0</v>
      </c>
      <c r="AK330" s="24">
        <f t="shared" si="79"/>
        <v>0</v>
      </c>
      <c r="AL330" s="24">
        <f t="shared" si="79"/>
        <v>0</v>
      </c>
      <c r="AM330" s="24">
        <f t="shared" si="79"/>
        <v>0</v>
      </c>
      <c r="AN330" s="779"/>
    </row>
    <row r="331" spans="1:40" ht="13.5" thickBot="1">
      <c r="A331" s="774"/>
      <c r="B331" s="738"/>
      <c r="C331" s="805"/>
      <c r="D331" s="784"/>
      <c r="E331" s="777"/>
      <c r="F331" s="116">
        <f>F325+F328</f>
        <v>200000</v>
      </c>
      <c r="G331" s="36" t="s">
        <v>26</v>
      </c>
      <c r="H331" s="37">
        <f aca="true" t="shared" si="80" ref="H331:AM331">H325+H327+H329</f>
        <v>0</v>
      </c>
      <c r="I331" s="119">
        <f t="shared" si="80"/>
        <v>50000</v>
      </c>
      <c r="J331" s="29">
        <f t="shared" si="80"/>
        <v>50000</v>
      </c>
      <c r="K331" s="29">
        <f t="shared" si="80"/>
        <v>100000</v>
      </c>
      <c r="L331" s="29">
        <f t="shared" si="80"/>
        <v>0</v>
      </c>
      <c r="M331" s="29">
        <f t="shared" si="80"/>
        <v>0</v>
      </c>
      <c r="N331" s="29">
        <f t="shared" si="80"/>
        <v>0</v>
      </c>
      <c r="O331" s="29">
        <f t="shared" si="80"/>
        <v>0</v>
      </c>
      <c r="P331" s="29">
        <f t="shared" si="80"/>
        <v>0</v>
      </c>
      <c r="Q331" s="29">
        <f t="shared" si="80"/>
        <v>0</v>
      </c>
      <c r="R331" s="29">
        <f t="shared" si="80"/>
        <v>0</v>
      </c>
      <c r="S331" s="29">
        <f t="shared" si="80"/>
        <v>0</v>
      </c>
      <c r="T331" s="29">
        <f t="shared" si="80"/>
        <v>0</v>
      </c>
      <c r="U331" s="29">
        <f t="shared" si="80"/>
        <v>0</v>
      </c>
      <c r="V331" s="29">
        <f t="shared" si="80"/>
        <v>0</v>
      </c>
      <c r="W331" s="29">
        <f t="shared" si="80"/>
        <v>0</v>
      </c>
      <c r="X331" s="29">
        <f t="shared" si="80"/>
        <v>0</v>
      </c>
      <c r="Y331" s="29">
        <f t="shared" si="80"/>
        <v>0</v>
      </c>
      <c r="Z331" s="29">
        <f t="shared" si="80"/>
        <v>0</v>
      </c>
      <c r="AA331" s="29">
        <f t="shared" si="80"/>
        <v>0</v>
      </c>
      <c r="AB331" s="29">
        <f t="shared" si="80"/>
        <v>0</v>
      </c>
      <c r="AC331" s="29">
        <f t="shared" si="80"/>
        <v>0</v>
      </c>
      <c r="AD331" s="29">
        <f t="shared" si="80"/>
        <v>0</v>
      </c>
      <c r="AE331" s="29">
        <f t="shared" si="80"/>
        <v>0</v>
      </c>
      <c r="AF331" s="29">
        <f t="shared" si="80"/>
        <v>0</v>
      </c>
      <c r="AG331" s="29">
        <f t="shared" si="80"/>
        <v>0</v>
      </c>
      <c r="AH331" s="29">
        <f t="shared" si="80"/>
        <v>0</v>
      </c>
      <c r="AI331" s="29">
        <f t="shared" si="80"/>
        <v>0</v>
      </c>
      <c r="AJ331" s="29">
        <f t="shared" si="80"/>
        <v>0</v>
      </c>
      <c r="AK331" s="29">
        <f t="shared" si="80"/>
        <v>0</v>
      </c>
      <c r="AL331" s="29">
        <f t="shared" si="80"/>
        <v>0</v>
      </c>
      <c r="AM331" s="29">
        <f t="shared" si="80"/>
        <v>0</v>
      </c>
      <c r="AN331" s="780"/>
    </row>
    <row r="332" spans="1:40" ht="12.75">
      <c r="A332" s="773">
        <v>41</v>
      </c>
      <c r="B332" s="737" t="s">
        <v>153</v>
      </c>
      <c r="C332" s="782">
        <v>90095</v>
      </c>
      <c r="D332" s="784" t="s">
        <v>154</v>
      </c>
      <c r="E332" s="776"/>
      <c r="F332" s="8" t="s">
        <v>14</v>
      </c>
      <c r="G332" s="9" t="s">
        <v>15</v>
      </c>
      <c r="H332" s="33"/>
      <c r="I332" s="113"/>
      <c r="J332" s="12"/>
      <c r="K332" s="12"/>
      <c r="L332" s="12"/>
      <c r="M332" s="12"/>
      <c r="N332" s="12"/>
      <c r="O332" s="12"/>
      <c r="P332" s="12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803">
        <f>SUM(J339:AM339)</f>
        <v>0</v>
      </c>
    </row>
    <row r="333" spans="1:40" ht="12.75">
      <c r="A333" s="774"/>
      <c r="B333" s="737"/>
      <c r="C333" s="782"/>
      <c r="D333" s="784"/>
      <c r="E333" s="776"/>
      <c r="F333" s="746">
        <f>SUM(H338:AM338)</f>
        <v>0</v>
      </c>
      <c r="G333" s="15" t="s">
        <v>16</v>
      </c>
      <c r="H333" s="16">
        <v>776113</v>
      </c>
      <c r="I333" s="114">
        <v>651451</v>
      </c>
      <c r="J333" s="18"/>
      <c r="K333" s="18"/>
      <c r="L333" s="18"/>
      <c r="M333" s="18"/>
      <c r="N333" s="18"/>
      <c r="O333" s="18"/>
      <c r="P333" s="18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779"/>
    </row>
    <row r="334" spans="1:40" ht="12.75">
      <c r="A334" s="774"/>
      <c r="B334" s="737"/>
      <c r="C334" s="782"/>
      <c r="D334" s="784"/>
      <c r="E334" s="776"/>
      <c r="F334" s="781"/>
      <c r="G334" s="15" t="s">
        <v>17</v>
      </c>
      <c r="H334" s="16"/>
      <c r="I334" s="114"/>
      <c r="J334" s="18"/>
      <c r="K334" s="18"/>
      <c r="L334" s="18"/>
      <c r="M334" s="18"/>
      <c r="N334" s="18"/>
      <c r="O334" s="18"/>
      <c r="P334" s="18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779"/>
    </row>
    <row r="335" spans="1:40" ht="12.75">
      <c r="A335" s="774"/>
      <c r="B335" s="737"/>
      <c r="C335" s="782"/>
      <c r="D335" s="784"/>
      <c r="E335" s="727"/>
      <c r="F335" s="21" t="s">
        <v>18</v>
      </c>
      <c r="G335" s="15" t="s">
        <v>19</v>
      </c>
      <c r="H335" s="16"/>
      <c r="I335" s="114"/>
      <c r="J335" s="18"/>
      <c r="K335" s="18"/>
      <c r="L335" s="18"/>
      <c r="M335" s="18"/>
      <c r="N335" s="18"/>
      <c r="O335" s="18"/>
      <c r="P335" s="18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779"/>
    </row>
    <row r="336" spans="1:40" ht="12.75">
      <c r="A336" s="774"/>
      <c r="B336" s="737"/>
      <c r="C336" s="782"/>
      <c r="D336" s="784"/>
      <c r="E336" s="723"/>
      <c r="F336" s="746">
        <f>SUM(H339:AM339)</f>
        <v>1427564</v>
      </c>
      <c r="G336" s="15" t="s">
        <v>23</v>
      </c>
      <c r="H336" s="16"/>
      <c r="I336" s="114"/>
      <c r="J336" s="18"/>
      <c r="K336" s="18"/>
      <c r="L336" s="18"/>
      <c r="M336" s="18"/>
      <c r="N336" s="18"/>
      <c r="O336" s="18"/>
      <c r="P336" s="18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779"/>
    </row>
    <row r="337" spans="1:40" ht="12.75">
      <c r="A337" s="774"/>
      <c r="B337" s="737"/>
      <c r="C337" s="782"/>
      <c r="D337" s="784"/>
      <c r="E337" s="776"/>
      <c r="F337" s="781"/>
      <c r="G337" s="15" t="s">
        <v>24</v>
      </c>
      <c r="H337" s="16"/>
      <c r="I337" s="114"/>
      <c r="J337" s="18"/>
      <c r="K337" s="18"/>
      <c r="L337" s="18"/>
      <c r="M337" s="18"/>
      <c r="N337" s="18"/>
      <c r="O337" s="18"/>
      <c r="P337" s="18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779"/>
    </row>
    <row r="338" spans="1:40" ht="12.75">
      <c r="A338" s="774"/>
      <c r="B338" s="737"/>
      <c r="C338" s="782"/>
      <c r="D338" s="784"/>
      <c r="E338" s="776"/>
      <c r="F338" s="21" t="s">
        <v>22</v>
      </c>
      <c r="G338" s="15" t="s">
        <v>25</v>
      </c>
      <c r="H338" s="22">
        <f aca="true" t="shared" si="81" ref="H338:AM338">H332+H334+H336</f>
        <v>0</v>
      </c>
      <c r="I338" s="115">
        <f t="shared" si="81"/>
        <v>0</v>
      </c>
      <c r="J338" s="24">
        <f t="shared" si="81"/>
        <v>0</v>
      </c>
      <c r="K338" s="24">
        <f t="shared" si="81"/>
        <v>0</v>
      </c>
      <c r="L338" s="24">
        <f t="shared" si="81"/>
        <v>0</v>
      </c>
      <c r="M338" s="24">
        <f t="shared" si="81"/>
        <v>0</v>
      </c>
      <c r="N338" s="24">
        <f t="shared" si="81"/>
        <v>0</v>
      </c>
      <c r="O338" s="24">
        <f t="shared" si="81"/>
        <v>0</v>
      </c>
      <c r="P338" s="24">
        <f t="shared" si="81"/>
        <v>0</v>
      </c>
      <c r="Q338" s="24">
        <f t="shared" si="81"/>
        <v>0</v>
      </c>
      <c r="R338" s="24">
        <f t="shared" si="81"/>
        <v>0</v>
      </c>
      <c r="S338" s="24">
        <f t="shared" si="81"/>
        <v>0</v>
      </c>
      <c r="T338" s="24">
        <f t="shared" si="81"/>
        <v>0</v>
      </c>
      <c r="U338" s="24">
        <f t="shared" si="81"/>
        <v>0</v>
      </c>
      <c r="V338" s="24">
        <f t="shared" si="81"/>
        <v>0</v>
      </c>
      <c r="W338" s="24">
        <f t="shared" si="81"/>
        <v>0</v>
      </c>
      <c r="X338" s="24">
        <f t="shared" si="81"/>
        <v>0</v>
      </c>
      <c r="Y338" s="24">
        <f t="shared" si="81"/>
        <v>0</v>
      </c>
      <c r="Z338" s="24">
        <f t="shared" si="81"/>
        <v>0</v>
      </c>
      <c r="AA338" s="24">
        <f t="shared" si="81"/>
        <v>0</v>
      </c>
      <c r="AB338" s="24">
        <f t="shared" si="81"/>
        <v>0</v>
      </c>
      <c r="AC338" s="24">
        <f t="shared" si="81"/>
        <v>0</v>
      </c>
      <c r="AD338" s="24">
        <f t="shared" si="81"/>
        <v>0</v>
      </c>
      <c r="AE338" s="24">
        <f t="shared" si="81"/>
        <v>0</v>
      </c>
      <c r="AF338" s="24">
        <f t="shared" si="81"/>
        <v>0</v>
      </c>
      <c r="AG338" s="24">
        <f t="shared" si="81"/>
        <v>0</v>
      </c>
      <c r="AH338" s="24">
        <f t="shared" si="81"/>
        <v>0</v>
      </c>
      <c r="AI338" s="24">
        <f t="shared" si="81"/>
        <v>0</v>
      </c>
      <c r="AJ338" s="24">
        <f t="shared" si="81"/>
        <v>0</v>
      </c>
      <c r="AK338" s="24">
        <f t="shared" si="81"/>
        <v>0</v>
      </c>
      <c r="AL338" s="24">
        <f t="shared" si="81"/>
        <v>0</v>
      </c>
      <c r="AM338" s="24">
        <f t="shared" si="81"/>
        <v>0</v>
      </c>
      <c r="AN338" s="779"/>
    </row>
    <row r="339" spans="1:40" ht="13.5" thickBot="1">
      <c r="A339" s="774"/>
      <c r="B339" s="737"/>
      <c r="C339" s="782"/>
      <c r="D339" s="784"/>
      <c r="E339" s="776"/>
      <c r="F339" s="116">
        <f>F333+F336</f>
        <v>1427564</v>
      </c>
      <c r="G339" s="26" t="s">
        <v>26</v>
      </c>
      <c r="H339" s="37">
        <f aca="true" t="shared" si="82" ref="H339:AM339">H333+H335+H337</f>
        <v>776113</v>
      </c>
      <c r="I339" s="117">
        <f t="shared" si="82"/>
        <v>651451</v>
      </c>
      <c r="J339" s="30">
        <f t="shared" si="82"/>
        <v>0</v>
      </c>
      <c r="K339" s="30">
        <f t="shared" si="82"/>
        <v>0</v>
      </c>
      <c r="L339" s="30">
        <f t="shared" si="82"/>
        <v>0</v>
      </c>
      <c r="M339" s="30">
        <f t="shared" si="82"/>
        <v>0</v>
      </c>
      <c r="N339" s="30">
        <f t="shared" si="82"/>
        <v>0</v>
      </c>
      <c r="O339" s="30">
        <f t="shared" si="82"/>
        <v>0</v>
      </c>
      <c r="P339" s="30">
        <f t="shared" si="82"/>
        <v>0</v>
      </c>
      <c r="Q339" s="30">
        <f t="shared" si="82"/>
        <v>0</v>
      </c>
      <c r="R339" s="30">
        <f t="shared" si="82"/>
        <v>0</v>
      </c>
      <c r="S339" s="30">
        <f t="shared" si="82"/>
        <v>0</v>
      </c>
      <c r="T339" s="30">
        <f t="shared" si="82"/>
        <v>0</v>
      </c>
      <c r="U339" s="30">
        <f t="shared" si="82"/>
        <v>0</v>
      </c>
      <c r="V339" s="30">
        <f t="shared" si="82"/>
        <v>0</v>
      </c>
      <c r="W339" s="30">
        <f t="shared" si="82"/>
        <v>0</v>
      </c>
      <c r="X339" s="30">
        <f t="shared" si="82"/>
        <v>0</v>
      </c>
      <c r="Y339" s="30">
        <f t="shared" si="82"/>
        <v>0</v>
      </c>
      <c r="Z339" s="30">
        <f t="shared" si="82"/>
        <v>0</v>
      </c>
      <c r="AA339" s="30">
        <f t="shared" si="82"/>
        <v>0</v>
      </c>
      <c r="AB339" s="30">
        <f t="shared" si="82"/>
        <v>0</v>
      </c>
      <c r="AC339" s="30">
        <f t="shared" si="82"/>
        <v>0</v>
      </c>
      <c r="AD339" s="30">
        <f t="shared" si="82"/>
        <v>0</v>
      </c>
      <c r="AE339" s="30">
        <f t="shared" si="82"/>
        <v>0</v>
      </c>
      <c r="AF339" s="30">
        <f t="shared" si="82"/>
        <v>0</v>
      </c>
      <c r="AG339" s="30">
        <f t="shared" si="82"/>
        <v>0</v>
      </c>
      <c r="AH339" s="30">
        <f t="shared" si="82"/>
        <v>0</v>
      </c>
      <c r="AI339" s="30">
        <f t="shared" si="82"/>
        <v>0</v>
      </c>
      <c r="AJ339" s="30">
        <f t="shared" si="82"/>
        <v>0</v>
      </c>
      <c r="AK339" s="30">
        <f t="shared" si="82"/>
        <v>0</v>
      </c>
      <c r="AL339" s="30">
        <f t="shared" si="82"/>
        <v>0</v>
      </c>
      <c r="AM339" s="30">
        <f t="shared" si="82"/>
        <v>0</v>
      </c>
      <c r="AN339" s="780"/>
    </row>
    <row r="340" spans="1:40" ht="12.75" customHeight="1">
      <c r="A340" s="773">
        <v>42</v>
      </c>
      <c r="B340" s="752" t="s">
        <v>155</v>
      </c>
      <c r="C340" s="804">
        <v>90095</v>
      </c>
      <c r="D340" s="783" t="s">
        <v>164</v>
      </c>
      <c r="E340" s="775"/>
      <c r="F340" s="8" t="s">
        <v>14</v>
      </c>
      <c r="G340" s="32" t="s">
        <v>15</v>
      </c>
      <c r="H340" s="33"/>
      <c r="I340" s="118"/>
      <c r="J340" s="34"/>
      <c r="K340" s="34"/>
      <c r="L340" s="34"/>
      <c r="M340" s="34"/>
      <c r="N340" s="34"/>
      <c r="O340" s="34"/>
      <c r="P340" s="34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803">
        <f>SUM(J347:AM347)</f>
        <v>1000000</v>
      </c>
    </row>
    <row r="341" spans="1:40" ht="12.75">
      <c r="A341" s="774"/>
      <c r="B341" s="737"/>
      <c r="C341" s="782"/>
      <c r="D341" s="784"/>
      <c r="E341" s="776"/>
      <c r="F341" s="746">
        <f>SUM(H346:AM346)</f>
        <v>0</v>
      </c>
      <c r="G341" s="15" t="s">
        <v>16</v>
      </c>
      <c r="H341" s="16"/>
      <c r="I341" s="114">
        <v>500000</v>
      </c>
      <c r="J341" s="18">
        <v>1000000</v>
      </c>
      <c r="K341" s="18"/>
      <c r="L341" s="18"/>
      <c r="M341" s="18"/>
      <c r="N341" s="18"/>
      <c r="O341" s="18"/>
      <c r="P341" s="18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779"/>
    </row>
    <row r="342" spans="1:40" ht="12.75">
      <c r="A342" s="774"/>
      <c r="B342" s="737"/>
      <c r="C342" s="782"/>
      <c r="D342" s="784"/>
      <c r="E342" s="776"/>
      <c r="F342" s="781"/>
      <c r="G342" s="15" t="s">
        <v>17</v>
      </c>
      <c r="H342" s="16"/>
      <c r="I342" s="114"/>
      <c r="J342" s="18"/>
      <c r="K342" s="18"/>
      <c r="L342" s="18"/>
      <c r="M342" s="18"/>
      <c r="N342" s="18"/>
      <c r="O342" s="18"/>
      <c r="P342" s="18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779"/>
    </row>
    <row r="343" spans="1:40" ht="12.75">
      <c r="A343" s="774"/>
      <c r="B343" s="737"/>
      <c r="C343" s="782"/>
      <c r="D343" s="784"/>
      <c r="E343" s="727"/>
      <c r="F343" s="21" t="s">
        <v>18</v>
      </c>
      <c r="G343" s="15" t="s">
        <v>19</v>
      </c>
      <c r="H343" s="16"/>
      <c r="I343" s="114"/>
      <c r="J343" s="18"/>
      <c r="K343" s="18"/>
      <c r="L343" s="18"/>
      <c r="M343" s="18"/>
      <c r="N343" s="18"/>
      <c r="O343" s="18"/>
      <c r="P343" s="18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779"/>
    </row>
    <row r="344" spans="1:40" ht="12.75">
      <c r="A344" s="774"/>
      <c r="B344" s="737"/>
      <c r="C344" s="782"/>
      <c r="D344" s="784"/>
      <c r="E344" s="723"/>
      <c r="F344" s="746">
        <f>SUM(H347:AM347)</f>
        <v>1500000</v>
      </c>
      <c r="G344" s="15" t="s">
        <v>23</v>
      </c>
      <c r="H344" s="16"/>
      <c r="I344" s="114"/>
      <c r="J344" s="18"/>
      <c r="K344" s="18"/>
      <c r="L344" s="18"/>
      <c r="M344" s="18"/>
      <c r="N344" s="18"/>
      <c r="O344" s="18"/>
      <c r="P344" s="18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779"/>
    </row>
    <row r="345" spans="1:40" ht="12.75">
      <c r="A345" s="774"/>
      <c r="B345" s="737"/>
      <c r="C345" s="782"/>
      <c r="D345" s="784"/>
      <c r="E345" s="776"/>
      <c r="F345" s="781"/>
      <c r="G345" s="15" t="s">
        <v>24</v>
      </c>
      <c r="H345" s="16"/>
      <c r="I345" s="114"/>
      <c r="J345" s="18"/>
      <c r="K345" s="18"/>
      <c r="L345" s="18"/>
      <c r="M345" s="18"/>
      <c r="N345" s="18"/>
      <c r="O345" s="18"/>
      <c r="P345" s="18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779"/>
    </row>
    <row r="346" spans="1:40" ht="12.75">
      <c r="A346" s="774"/>
      <c r="B346" s="737"/>
      <c r="C346" s="782"/>
      <c r="D346" s="784"/>
      <c r="E346" s="776"/>
      <c r="F346" s="21" t="s">
        <v>22</v>
      </c>
      <c r="G346" s="15" t="s">
        <v>25</v>
      </c>
      <c r="H346" s="22">
        <f aca="true" t="shared" si="83" ref="H346:AM346">H340+H342+H344</f>
        <v>0</v>
      </c>
      <c r="I346" s="115">
        <f t="shared" si="83"/>
        <v>0</v>
      </c>
      <c r="J346" s="24">
        <f t="shared" si="83"/>
        <v>0</v>
      </c>
      <c r="K346" s="24">
        <f t="shared" si="83"/>
        <v>0</v>
      </c>
      <c r="L346" s="24">
        <f t="shared" si="83"/>
        <v>0</v>
      </c>
      <c r="M346" s="24">
        <f t="shared" si="83"/>
        <v>0</v>
      </c>
      <c r="N346" s="24">
        <f t="shared" si="83"/>
        <v>0</v>
      </c>
      <c r="O346" s="24">
        <f t="shared" si="83"/>
        <v>0</v>
      </c>
      <c r="P346" s="24">
        <f t="shared" si="83"/>
        <v>0</v>
      </c>
      <c r="Q346" s="24">
        <f t="shared" si="83"/>
        <v>0</v>
      </c>
      <c r="R346" s="24">
        <f t="shared" si="83"/>
        <v>0</v>
      </c>
      <c r="S346" s="24">
        <f t="shared" si="83"/>
        <v>0</v>
      </c>
      <c r="T346" s="24">
        <f t="shared" si="83"/>
        <v>0</v>
      </c>
      <c r="U346" s="24">
        <f t="shared" si="83"/>
        <v>0</v>
      </c>
      <c r="V346" s="24">
        <f t="shared" si="83"/>
        <v>0</v>
      </c>
      <c r="W346" s="24">
        <f t="shared" si="83"/>
        <v>0</v>
      </c>
      <c r="X346" s="24">
        <f t="shared" si="83"/>
        <v>0</v>
      </c>
      <c r="Y346" s="24">
        <f t="shared" si="83"/>
        <v>0</v>
      </c>
      <c r="Z346" s="24">
        <f t="shared" si="83"/>
        <v>0</v>
      </c>
      <c r="AA346" s="24">
        <f t="shared" si="83"/>
        <v>0</v>
      </c>
      <c r="AB346" s="24">
        <f t="shared" si="83"/>
        <v>0</v>
      </c>
      <c r="AC346" s="24">
        <f t="shared" si="83"/>
        <v>0</v>
      </c>
      <c r="AD346" s="24">
        <f t="shared" si="83"/>
        <v>0</v>
      </c>
      <c r="AE346" s="24">
        <f t="shared" si="83"/>
        <v>0</v>
      </c>
      <c r="AF346" s="24">
        <f t="shared" si="83"/>
        <v>0</v>
      </c>
      <c r="AG346" s="24">
        <f t="shared" si="83"/>
        <v>0</v>
      </c>
      <c r="AH346" s="24">
        <f t="shared" si="83"/>
        <v>0</v>
      </c>
      <c r="AI346" s="24">
        <f t="shared" si="83"/>
        <v>0</v>
      </c>
      <c r="AJ346" s="24">
        <f t="shared" si="83"/>
        <v>0</v>
      </c>
      <c r="AK346" s="24">
        <f t="shared" si="83"/>
        <v>0</v>
      </c>
      <c r="AL346" s="24">
        <f t="shared" si="83"/>
        <v>0</v>
      </c>
      <c r="AM346" s="24">
        <f t="shared" si="83"/>
        <v>0</v>
      </c>
      <c r="AN346" s="779"/>
    </row>
    <row r="347" spans="1:40" ht="13.5" thickBot="1">
      <c r="A347" s="806"/>
      <c r="B347" s="738"/>
      <c r="C347" s="805"/>
      <c r="D347" s="771"/>
      <c r="E347" s="777"/>
      <c r="F347" s="116">
        <f>F341+F344</f>
        <v>1500000</v>
      </c>
      <c r="G347" s="36" t="s">
        <v>26</v>
      </c>
      <c r="H347" s="37">
        <f aca="true" t="shared" si="84" ref="H347:AM347">H341+H343+H345</f>
        <v>0</v>
      </c>
      <c r="I347" s="119">
        <f t="shared" si="84"/>
        <v>500000</v>
      </c>
      <c r="J347" s="29">
        <f t="shared" si="84"/>
        <v>1000000</v>
      </c>
      <c r="K347" s="29">
        <f t="shared" si="84"/>
        <v>0</v>
      </c>
      <c r="L347" s="29">
        <f t="shared" si="84"/>
        <v>0</v>
      </c>
      <c r="M347" s="29">
        <f t="shared" si="84"/>
        <v>0</v>
      </c>
      <c r="N347" s="29">
        <f t="shared" si="84"/>
        <v>0</v>
      </c>
      <c r="O347" s="29">
        <f t="shared" si="84"/>
        <v>0</v>
      </c>
      <c r="P347" s="29">
        <f t="shared" si="84"/>
        <v>0</v>
      </c>
      <c r="Q347" s="29">
        <f t="shared" si="84"/>
        <v>0</v>
      </c>
      <c r="R347" s="29">
        <f t="shared" si="84"/>
        <v>0</v>
      </c>
      <c r="S347" s="29">
        <f t="shared" si="84"/>
        <v>0</v>
      </c>
      <c r="T347" s="29">
        <f t="shared" si="84"/>
        <v>0</v>
      </c>
      <c r="U347" s="29">
        <f t="shared" si="84"/>
        <v>0</v>
      </c>
      <c r="V347" s="29">
        <f t="shared" si="84"/>
        <v>0</v>
      </c>
      <c r="W347" s="29">
        <f t="shared" si="84"/>
        <v>0</v>
      </c>
      <c r="X347" s="29">
        <f t="shared" si="84"/>
        <v>0</v>
      </c>
      <c r="Y347" s="29">
        <f t="shared" si="84"/>
        <v>0</v>
      </c>
      <c r="Z347" s="29">
        <f t="shared" si="84"/>
        <v>0</v>
      </c>
      <c r="AA347" s="29">
        <f t="shared" si="84"/>
        <v>0</v>
      </c>
      <c r="AB347" s="29">
        <f t="shared" si="84"/>
        <v>0</v>
      </c>
      <c r="AC347" s="29">
        <f t="shared" si="84"/>
        <v>0</v>
      </c>
      <c r="AD347" s="29">
        <f t="shared" si="84"/>
        <v>0</v>
      </c>
      <c r="AE347" s="29">
        <f t="shared" si="84"/>
        <v>0</v>
      </c>
      <c r="AF347" s="29">
        <f t="shared" si="84"/>
        <v>0</v>
      </c>
      <c r="AG347" s="29">
        <f t="shared" si="84"/>
        <v>0</v>
      </c>
      <c r="AH347" s="29">
        <f t="shared" si="84"/>
        <v>0</v>
      </c>
      <c r="AI347" s="29">
        <f t="shared" si="84"/>
        <v>0</v>
      </c>
      <c r="AJ347" s="29">
        <f t="shared" si="84"/>
        <v>0</v>
      </c>
      <c r="AK347" s="29">
        <f t="shared" si="84"/>
        <v>0</v>
      </c>
      <c r="AL347" s="29">
        <f t="shared" si="84"/>
        <v>0</v>
      </c>
      <c r="AM347" s="29">
        <f t="shared" si="84"/>
        <v>0</v>
      </c>
      <c r="AN347" s="780"/>
    </row>
    <row r="348" spans="1:40" ht="12.75" customHeight="1">
      <c r="A348" s="773">
        <v>43</v>
      </c>
      <c r="B348" s="737" t="s">
        <v>156</v>
      </c>
      <c r="C348" s="782">
        <v>92106</v>
      </c>
      <c r="D348" s="783" t="s">
        <v>164</v>
      </c>
      <c r="E348" s="776">
        <v>2010</v>
      </c>
      <c r="F348" s="8" t="s">
        <v>14</v>
      </c>
      <c r="G348" s="9" t="s">
        <v>15</v>
      </c>
      <c r="H348" s="33"/>
      <c r="I348" s="113"/>
      <c r="J348" s="12"/>
      <c r="K348" s="12"/>
      <c r="L348" s="12"/>
      <c r="M348" s="12"/>
      <c r="N348" s="12"/>
      <c r="O348" s="12"/>
      <c r="P348" s="12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803">
        <f>SUM(J355:AM355)</f>
        <v>6183037</v>
      </c>
    </row>
    <row r="349" spans="1:40" ht="12.75">
      <c r="A349" s="774"/>
      <c r="B349" s="737"/>
      <c r="C349" s="782"/>
      <c r="D349" s="784"/>
      <c r="E349" s="776"/>
      <c r="F349" s="746">
        <f>SUM(H354:AM354)</f>
        <v>0</v>
      </c>
      <c r="G349" s="15" t="s">
        <v>16</v>
      </c>
      <c r="H349" s="16">
        <v>910400</v>
      </c>
      <c r="I349" s="114">
        <v>5659967</v>
      </c>
      <c r="J349" s="18">
        <v>1477910</v>
      </c>
      <c r="K349" s="18">
        <v>4705127</v>
      </c>
      <c r="L349" s="18"/>
      <c r="M349" s="18"/>
      <c r="N349" s="18"/>
      <c r="O349" s="18"/>
      <c r="P349" s="18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779"/>
    </row>
    <row r="350" spans="1:40" ht="12.75">
      <c r="A350" s="774"/>
      <c r="B350" s="737"/>
      <c r="C350" s="782"/>
      <c r="D350" s="784"/>
      <c r="E350" s="776"/>
      <c r="F350" s="781"/>
      <c r="G350" s="15" t="s">
        <v>17</v>
      </c>
      <c r="H350" s="16"/>
      <c r="I350" s="114"/>
      <c r="J350" s="18"/>
      <c r="K350" s="18"/>
      <c r="L350" s="18"/>
      <c r="M350" s="18"/>
      <c r="N350" s="18"/>
      <c r="O350" s="18"/>
      <c r="P350" s="18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779"/>
    </row>
    <row r="351" spans="1:40" ht="12.75">
      <c r="A351" s="774"/>
      <c r="B351" s="737"/>
      <c r="C351" s="782"/>
      <c r="D351" s="784"/>
      <c r="E351" s="727"/>
      <c r="F351" s="21" t="s">
        <v>18</v>
      </c>
      <c r="G351" s="15" t="s">
        <v>19</v>
      </c>
      <c r="H351" s="16"/>
      <c r="I351" s="114"/>
      <c r="J351" s="18"/>
      <c r="K351" s="18"/>
      <c r="L351" s="18"/>
      <c r="M351" s="18"/>
      <c r="N351" s="18"/>
      <c r="O351" s="18"/>
      <c r="P351" s="18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779"/>
    </row>
    <row r="352" spans="1:40" ht="12.75">
      <c r="A352" s="774"/>
      <c r="B352" s="737"/>
      <c r="C352" s="782"/>
      <c r="D352" s="784"/>
      <c r="E352" s="723">
        <v>2012</v>
      </c>
      <c r="F352" s="746">
        <f>SUM(H355:AM355)</f>
        <v>12753404</v>
      </c>
      <c r="G352" s="15" t="s">
        <v>23</v>
      </c>
      <c r="H352" s="16"/>
      <c r="I352" s="114"/>
      <c r="J352" s="18"/>
      <c r="K352" s="18"/>
      <c r="L352" s="18"/>
      <c r="M352" s="18"/>
      <c r="N352" s="18"/>
      <c r="O352" s="18"/>
      <c r="P352" s="18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779"/>
    </row>
    <row r="353" spans="1:40" ht="12.75">
      <c r="A353" s="774"/>
      <c r="B353" s="737"/>
      <c r="C353" s="782"/>
      <c r="D353" s="784"/>
      <c r="E353" s="776"/>
      <c r="F353" s="781"/>
      <c r="G353" s="15" t="s">
        <v>24</v>
      </c>
      <c r="H353" s="16"/>
      <c r="I353" s="114"/>
      <c r="J353" s="18"/>
      <c r="K353" s="18"/>
      <c r="L353" s="18"/>
      <c r="M353" s="18"/>
      <c r="N353" s="18"/>
      <c r="O353" s="18"/>
      <c r="P353" s="18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779"/>
    </row>
    <row r="354" spans="1:40" ht="12.75">
      <c r="A354" s="774"/>
      <c r="B354" s="737"/>
      <c r="C354" s="782"/>
      <c r="D354" s="784"/>
      <c r="E354" s="776"/>
      <c r="F354" s="21" t="s">
        <v>22</v>
      </c>
      <c r="G354" s="15" t="s">
        <v>25</v>
      </c>
      <c r="H354" s="22">
        <f aca="true" t="shared" si="85" ref="H354:AM354">H348+H350+H352</f>
        <v>0</v>
      </c>
      <c r="I354" s="115">
        <f t="shared" si="85"/>
        <v>0</v>
      </c>
      <c r="J354" s="24">
        <f t="shared" si="85"/>
        <v>0</v>
      </c>
      <c r="K354" s="24">
        <f t="shared" si="85"/>
        <v>0</v>
      </c>
      <c r="L354" s="24">
        <f t="shared" si="85"/>
        <v>0</v>
      </c>
      <c r="M354" s="24">
        <f t="shared" si="85"/>
        <v>0</v>
      </c>
      <c r="N354" s="24">
        <f t="shared" si="85"/>
        <v>0</v>
      </c>
      <c r="O354" s="24">
        <f t="shared" si="85"/>
        <v>0</v>
      </c>
      <c r="P354" s="24">
        <f t="shared" si="85"/>
        <v>0</v>
      </c>
      <c r="Q354" s="24">
        <f t="shared" si="85"/>
        <v>0</v>
      </c>
      <c r="R354" s="24">
        <f t="shared" si="85"/>
        <v>0</v>
      </c>
      <c r="S354" s="24">
        <f t="shared" si="85"/>
        <v>0</v>
      </c>
      <c r="T354" s="24">
        <f t="shared" si="85"/>
        <v>0</v>
      </c>
      <c r="U354" s="24">
        <f t="shared" si="85"/>
        <v>0</v>
      </c>
      <c r="V354" s="24">
        <f t="shared" si="85"/>
        <v>0</v>
      </c>
      <c r="W354" s="24">
        <f t="shared" si="85"/>
        <v>0</v>
      </c>
      <c r="X354" s="24">
        <f t="shared" si="85"/>
        <v>0</v>
      </c>
      <c r="Y354" s="24">
        <f t="shared" si="85"/>
        <v>0</v>
      </c>
      <c r="Z354" s="24">
        <f t="shared" si="85"/>
        <v>0</v>
      </c>
      <c r="AA354" s="24">
        <f t="shared" si="85"/>
        <v>0</v>
      </c>
      <c r="AB354" s="24">
        <f t="shared" si="85"/>
        <v>0</v>
      </c>
      <c r="AC354" s="24">
        <f t="shared" si="85"/>
        <v>0</v>
      </c>
      <c r="AD354" s="24">
        <f t="shared" si="85"/>
        <v>0</v>
      </c>
      <c r="AE354" s="24">
        <f t="shared" si="85"/>
        <v>0</v>
      </c>
      <c r="AF354" s="24">
        <f t="shared" si="85"/>
        <v>0</v>
      </c>
      <c r="AG354" s="24">
        <f t="shared" si="85"/>
        <v>0</v>
      </c>
      <c r="AH354" s="24">
        <f t="shared" si="85"/>
        <v>0</v>
      </c>
      <c r="AI354" s="24">
        <f t="shared" si="85"/>
        <v>0</v>
      </c>
      <c r="AJ354" s="24">
        <f t="shared" si="85"/>
        <v>0</v>
      </c>
      <c r="AK354" s="24">
        <f t="shared" si="85"/>
        <v>0</v>
      </c>
      <c r="AL354" s="24">
        <f t="shared" si="85"/>
        <v>0</v>
      </c>
      <c r="AM354" s="24">
        <f t="shared" si="85"/>
        <v>0</v>
      </c>
      <c r="AN354" s="779"/>
    </row>
    <row r="355" spans="1:40" ht="13.5" thickBot="1">
      <c r="A355" s="774"/>
      <c r="B355" s="737"/>
      <c r="C355" s="782"/>
      <c r="D355" s="784"/>
      <c r="E355" s="776"/>
      <c r="F355" s="116">
        <f>F349+F352</f>
        <v>12753404</v>
      </c>
      <c r="G355" s="26" t="s">
        <v>26</v>
      </c>
      <c r="H355" s="37">
        <f aca="true" t="shared" si="86" ref="H355:AM355">H349+H351+H353</f>
        <v>910400</v>
      </c>
      <c r="I355" s="117">
        <f t="shared" si="86"/>
        <v>5659967</v>
      </c>
      <c r="J355" s="30">
        <f t="shared" si="86"/>
        <v>1477910</v>
      </c>
      <c r="K355" s="30">
        <f t="shared" si="86"/>
        <v>4705127</v>
      </c>
      <c r="L355" s="30">
        <f t="shared" si="86"/>
        <v>0</v>
      </c>
      <c r="M355" s="30">
        <f t="shared" si="86"/>
        <v>0</v>
      </c>
      <c r="N355" s="30">
        <f t="shared" si="86"/>
        <v>0</v>
      </c>
      <c r="O355" s="30">
        <f t="shared" si="86"/>
        <v>0</v>
      </c>
      <c r="P355" s="30">
        <f t="shared" si="86"/>
        <v>0</v>
      </c>
      <c r="Q355" s="30">
        <f t="shared" si="86"/>
        <v>0</v>
      </c>
      <c r="R355" s="30">
        <f t="shared" si="86"/>
        <v>0</v>
      </c>
      <c r="S355" s="30">
        <f t="shared" si="86"/>
        <v>0</v>
      </c>
      <c r="T355" s="30">
        <f t="shared" si="86"/>
        <v>0</v>
      </c>
      <c r="U355" s="30">
        <f t="shared" si="86"/>
        <v>0</v>
      </c>
      <c r="V355" s="30">
        <f t="shared" si="86"/>
        <v>0</v>
      </c>
      <c r="W355" s="30">
        <f t="shared" si="86"/>
        <v>0</v>
      </c>
      <c r="X355" s="30">
        <f t="shared" si="86"/>
        <v>0</v>
      </c>
      <c r="Y355" s="30">
        <f t="shared" si="86"/>
        <v>0</v>
      </c>
      <c r="Z355" s="30">
        <f t="shared" si="86"/>
        <v>0</v>
      </c>
      <c r="AA355" s="30">
        <f t="shared" si="86"/>
        <v>0</v>
      </c>
      <c r="AB355" s="30">
        <f t="shared" si="86"/>
        <v>0</v>
      </c>
      <c r="AC355" s="30">
        <f t="shared" si="86"/>
        <v>0</v>
      </c>
      <c r="AD355" s="30">
        <f t="shared" si="86"/>
        <v>0</v>
      </c>
      <c r="AE355" s="30">
        <f t="shared" si="86"/>
        <v>0</v>
      </c>
      <c r="AF355" s="30">
        <f t="shared" si="86"/>
        <v>0</v>
      </c>
      <c r="AG355" s="30">
        <f t="shared" si="86"/>
        <v>0</v>
      </c>
      <c r="AH355" s="30">
        <f t="shared" si="86"/>
        <v>0</v>
      </c>
      <c r="AI355" s="30">
        <f t="shared" si="86"/>
        <v>0</v>
      </c>
      <c r="AJ355" s="30">
        <f t="shared" si="86"/>
        <v>0</v>
      </c>
      <c r="AK355" s="30">
        <f t="shared" si="86"/>
        <v>0</v>
      </c>
      <c r="AL355" s="30">
        <f t="shared" si="86"/>
        <v>0</v>
      </c>
      <c r="AM355" s="30">
        <f t="shared" si="86"/>
        <v>0</v>
      </c>
      <c r="AN355" s="780"/>
    </row>
    <row r="356" spans="1:40" ht="12.75" customHeight="1">
      <c r="A356" s="773">
        <v>44</v>
      </c>
      <c r="B356" s="752" t="s">
        <v>157</v>
      </c>
      <c r="C356" s="804">
        <v>92116</v>
      </c>
      <c r="D356" s="783" t="s">
        <v>164</v>
      </c>
      <c r="E356" s="775">
        <v>2011</v>
      </c>
      <c r="F356" s="8" t="s">
        <v>14</v>
      </c>
      <c r="G356" s="32" t="s">
        <v>15</v>
      </c>
      <c r="H356" s="33"/>
      <c r="I356" s="118"/>
      <c r="J356" s="34"/>
      <c r="K356" s="34"/>
      <c r="L356" s="34"/>
      <c r="M356" s="34"/>
      <c r="N356" s="34"/>
      <c r="O356" s="34"/>
      <c r="P356" s="34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803">
        <f>SUM(J363:AM363)</f>
        <v>1400000</v>
      </c>
    </row>
    <row r="357" spans="1:40" ht="12.75">
      <c r="A357" s="774"/>
      <c r="B357" s="737"/>
      <c r="C357" s="782"/>
      <c r="D357" s="784"/>
      <c r="E357" s="776"/>
      <c r="F357" s="746">
        <f>SUM(H362:AM362)</f>
        <v>0</v>
      </c>
      <c r="G357" s="15" t="s">
        <v>16</v>
      </c>
      <c r="H357" s="16"/>
      <c r="I357" s="114">
        <v>100000</v>
      </c>
      <c r="J357" s="18">
        <v>1400000</v>
      </c>
      <c r="K357" s="18"/>
      <c r="L357" s="18"/>
      <c r="M357" s="18"/>
      <c r="N357" s="18"/>
      <c r="O357" s="18"/>
      <c r="P357" s="18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779"/>
    </row>
    <row r="358" spans="1:40" ht="12.75">
      <c r="A358" s="774"/>
      <c r="B358" s="737"/>
      <c r="C358" s="782"/>
      <c r="D358" s="784"/>
      <c r="E358" s="776"/>
      <c r="F358" s="781"/>
      <c r="G358" s="15" t="s">
        <v>17</v>
      </c>
      <c r="H358" s="16"/>
      <c r="I358" s="114"/>
      <c r="J358" s="18"/>
      <c r="K358" s="18"/>
      <c r="L358" s="18"/>
      <c r="M358" s="18"/>
      <c r="N358" s="18"/>
      <c r="O358" s="18"/>
      <c r="P358" s="18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779"/>
    </row>
    <row r="359" spans="1:40" ht="12.75">
      <c r="A359" s="774"/>
      <c r="B359" s="737"/>
      <c r="C359" s="782"/>
      <c r="D359" s="784"/>
      <c r="E359" s="727"/>
      <c r="F359" s="21" t="s">
        <v>18</v>
      </c>
      <c r="G359" s="15" t="s">
        <v>19</v>
      </c>
      <c r="H359" s="16"/>
      <c r="I359" s="114"/>
      <c r="J359" s="18"/>
      <c r="K359" s="18"/>
      <c r="L359" s="18"/>
      <c r="M359" s="18"/>
      <c r="N359" s="18"/>
      <c r="O359" s="18"/>
      <c r="P359" s="18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779"/>
    </row>
    <row r="360" spans="1:40" ht="12.75">
      <c r="A360" s="774"/>
      <c r="B360" s="737"/>
      <c r="C360" s="782"/>
      <c r="D360" s="784"/>
      <c r="E360" s="723">
        <v>2012</v>
      </c>
      <c r="F360" s="746">
        <f>SUM(H363:AM363)</f>
        <v>1500000</v>
      </c>
      <c r="G360" s="15" t="s">
        <v>23</v>
      </c>
      <c r="H360" s="16"/>
      <c r="I360" s="114"/>
      <c r="J360" s="18"/>
      <c r="K360" s="18"/>
      <c r="L360" s="18"/>
      <c r="M360" s="18"/>
      <c r="N360" s="18"/>
      <c r="O360" s="18"/>
      <c r="P360" s="18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779"/>
    </row>
    <row r="361" spans="1:40" ht="12.75">
      <c r="A361" s="774"/>
      <c r="B361" s="737"/>
      <c r="C361" s="782"/>
      <c r="D361" s="784"/>
      <c r="E361" s="776"/>
      <c r="F361" s="781"/>
      <c r="G361" s="15" t="s">
        <v>24</v>
      </c>
      <c r="H361" s="16"/>
      <c r="I361" s="114"/>
      <c r="J361" s="18"/>
      <c r="K361" s="18"/>
      <c r="L361" s="18"/>
      <c r="M361" s="18"/>
      <c r="N361" s="18"/>
      <c r="O361" s="18"/>
      <c r="P361" s="18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779"/>
    </row>
    <row r="362" spans="1:40" ht="12.75">
      <c r="A362" s="774"/>
      <c r="B362" s="737"/>
      <c r="C362" s="782"/>
      <c r="D362" s="784"/>
      <c r="E362" s="776"/>
      <c r="F362" s="21" t="s">
        <v>22</v>
      </c>
      <c r="G362" s="15" t="s">
        <v>25</v>
      </c>
      <c r="H362" s="22">
        <f aca="true" t="shared" si="87" ref="H362:AM362">H356+H358+H360</f>
        <v>0</v>
      </c>
      <c r="I362" s="115">
        <f t="shared" si="87"/>
        <v>0</v>
      </c>
      <c r="J362" s="24">
        <f t="shared" si="87"/>
        <v>0</v>
      </c>
      <c r="K362" s="24">
        <f t="shared" si="87"/>
        <v>0</v>
      </c>
      <c r="L362" s="24">
        <f t="shared" si="87"/>
        <v>0</v>
      </c>
      <c r="M362" s="24">
        <f t="shared" si="87"/>
        <v>0</v>
      </c>
      <c r="N362" s="24">
        <f t="shared" si="87"/>
        <v>0</v>
      </c>
      <c r="O362" s="24">
        <f t="shared" si="87"/>
        <v>0</v>
      </c>
      <c r="P362" s="24">
        <f t="shared" si="87"/>
        <v>0</v>
      </c>
      <c r="Q362" s="24">
        <f t="shared" si="87"/>
        <v>0</v>
      </c>
      <c r="R362" s="24">
        <f t="shared" si="87"/>
        <v>0</v>
      </c>
      <c r="S362" s="24">
        <f t="shared" si="87"/>
        <v>0</v>
      </c>
      <c r="T362" s="24">
        <f t="shared" si="87"/>
        <v>0</v>
      </c>
      <c r="U362" s="24">
        <f t="shared" si="87"/>
        <v>0</v>
      </c>
      <c r="V362" s="24">
        <f t="shared" si="87"/>
        <v>0</v>
      </c>
      <c r="W362" s="24">
        <f t="shared" si="87"/>
        <v>0</v>
      </c>
      <c r="X362" s="24">
        <f t="shared" si="87"/>
        <v>0</v>
      </c>
      <c r="Y362" s="24">
        <f t="shared" si="87"/>
        <v>0</v>
      </c>
      <c r="Z362" s="24">
        <f t="shared" si="87"/>
        <v>0</v>
      </c>
      <c r="AA362" s="24">
        <f t="shared" si="87"/>
        <v>0</v>
      </c>
      <c r="AB362" s="24">
        <f t="shared" si="87"/>
        <v>0</v>
      </c>
      <c r="AC362" s="24">
        <f t="shared" si="87"/>
        <v>0</v>
      </c>
      <c r="AD362" s="24">
        <f t="shared" si="87"/>
        <v>0</v>
      </c>
      <c r="AE362" s="24">
        <f t="shared" si="87"/>
        <v>0</v>
      </c>
      <c r="AF362" s="24">
        <f t="shared" si="87"/>
        <v>0</v>
      </c>
      <c r="AG362" s="24">
        <f t="shared" si="87"/>
        <v>0</v>
      </c>
      <c r="AH362" s="24">
        <f t="shared" si="87"/>
        <v>0</v>
      </c>
      <c r="AI362" s="24">
        <f t="shared" si="87"/>
        <v>0</v>
      </c>
      <c r="AJ362" s="24">
        <f t="shared" si="87"/>
        <v>0</v>
      </c>
      <c r="AK362" s="24">
        <f t="shared" si="87"/>
        <v>0</v>
      </c>
      <c r="AL362" s="24">
        <f t="shared" si="87"/>
        <v>0</v>
      </c>
      <c r="AM362" s="24">
        <f t="shared" si="87"/>
        <v>0</v>
      </c>
      <c r="AN362" s="779"/>
    </row>
    <row r="363" spans="1:40" ht="18" customHeight="1" thickBot="1">
      <c r="A363" s="774"/>
      <c r="B363" s="738"/>
      <c r="C363" s="805"/>
      <c r="D363" s="784"/>
      <c r="E363" s="777"/>
      <c r="F363" s="116">
        <f>F357+F360</f>
        <v>1500000</v>
      </c>
      <c r="G363" s="36" t="s">
        <v>26</v>
      </c>
      <c r="H363" s="37">
        <f aca="true" t="shared" si="88" ref="H363:AM363">H357+H359+H361</f>
        <v>0</v>
      </c>
      <c r="I363" s="119">
        <f t="shared" si="88"/>
        <v>100000</v>
      </c>
      <c r="J363" s="29">
        <f t="shared" si="88"/>
        <v>1400000</v>
      </c>
      <c r="K363" s="29">
        <f t="shared" si="88"/>
        <v>0</v>
      </c>
      <c r="L363" s="29">
        <f t="shared" si="88"/>
        <v>0</v>
      </c>
      <c r="M363" s="29">
        <f t="shared" si="88"/>
        <v>0</v>
      </c>
      <c r="N363" s="29">
        <f t="shared" si="88"/>
        <v>0</v>
      </c>
      <c r="O363" s="29">
        <f t="shared" si="88"/>
        <v>0</v>
      </c>
      <c r="P363" s="29">
        <f t="shared" si="88"/>
        <v>0</v>
      </c>
      <c r="Q363" s="29">
        <f t="shared" si="88"/>
        <v>0</v>
      </c>
      <c r="R363" s="29">
        <f t="shared" si="88"/>
        <v>0</v>
      </c>
      <c r="S363" s="29">
        <f t="shared" si="88"/>
        <v>0</v>
      </c>
      <c r="T363" s="29">
        <f t="shared" si="88"/>
        <v>0</v>
      </c>
      <c r="U363" s="29">
        <f t="shared" si="88"/>
        <v>0</v>
      </c>
      <c r="V363" s="29">
        <f t="shared" si="88"/>
        <v>0</v>
      </c>
      <c r="W363" s="29">
        <f t="shared" si="88"/>
        <v>0</v>
      </c>
      <c r="X363" s="29">
        <f t="shared" si="88"/>
        <v>0</v>
      </c>
      <c r="Y363" s="29">
        <f t="shared" si="88"/>
        <v>0</v>
      </c>
      <c r="Z363" s="29">
        <f t="shared" si="88"/>
        <v>0</v>
      </c>
      <c r="AA363" s="29">
        <f t="shared" si="88"/>
        <v>0</v>
      </c>
      <c r="AB363" s="29">
        <f t="shared" si="88"/>
        <v>0</v>
      </c>
      <c r="AC363" s="29">
        <f t="shared" si="88"/>
        <v>0</v>
      </c>
      <c r="AD363" s="29">
        <f t="shared" si="88"/>
        <v>0</v>
      </c>
      <c r="AE363" s="29">
        <f t="shared" si="88"/>
        <v>0</v>
      </c>
      <c r="AF363" s="29">
        <f t="shared" si="88"/>
        <v>0</v>
      </c>
      <c r="AG363" s="29">
        <f t="shared" si="88"/>
        <v>0</v>
      </c>
      <c r="AH363" s="29">
        <f t="shared" si="88"/>
        <v>0</v>
      </c>
      <c r="AI363" s="29">
        <f t="shared" si="88"/>
        <v>0</v>
      </c>
      <c r="AJ363" s="29">
        <f t="shared" si="88"/>
        <v>0</v>
      </c>
      <c r="AK363" s="29">
        <f t="shared" si="88"/>
        <v>0</v>
      </c>
      <c r="AL363" s="29">
        <f t="shared" si="88"/>
        <v>0</v>
      </c>
      <c r="AM363" s="29">
        <f t="shared" si="88"/>
        <v>0</v>
      </c>
      <c r="AN363" s="780"/>
    </row>
    <row r="364" spans="1:40" ht="12.75" customHeight="1">
      <c r="A364" s="773">
        <v>45</v>
      </c>
      <c r="B364" s="752" t="s">
        <v>158</v>
      </c>
      <c r="C364" s="804">
        <v>92601</v>
      </c>
      <c r="D364" s="783" t="s">
        <v>159</v>
      </c>
      <c r="E364" s="775">
        <v>2011</v>
      </c>
      <c r="F364" s="8" t="s">
        <v>14</v>
      </c>
      <c r="G364" s="32" t="s">
        <v>123</v>
      </c>
      <c r="H364" s="33"/>
      <c r="I364" s="113">
        <v>5929</v>
      </c>
      <c r="J364" s="12">
        <v>5929</v>
      </c>
      <c r="K364" s="12">
        <v>5929</v>
      </c>
      <c r="L364" s="12">
        <v>5929</v>
      </c>
      <c r="M364" s="12">
        <v>5929</v>
      </c>
      <c r="N364" s="12"/>
      <c r="O364" s="12"/>
      <c r="P364" s="12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803">
        <f>SUM(J371:AM371)</f>
        <v>0</v>
      </c>
    </row>
    <row r="365" spans="1:40" ht="12.75">
      <c r="A365" s="774"/>
      <c r="B365" s="737"/>
      <c r="C365" s="782"/>
      <c r="D365" s="784"/>
      <c r="E365" s="776"/>
      <c r="F365" s="746">
        <f>SUM(H370:AM370)</f>
        <v>29645</v>
      </c>
      <c r="G365" s="15" t="s">
        <v>124</v>
      </c>
      <c r="H365" s="16">
        <v>68000000</v>
      </c>
      <c r="I365" s="114">
        <v>11000000</v>
      </c>
      <c r="J365" s="18"/>
      <c r="K365" s="18"/>
      <c r="L365" s="18"/>
      <c r="M365" s="18"/>
      <c r="N365" s="18"/>
      <c r="O365" s="18"/>
      <c r="P365" s="18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779"/>
    </row>
    <row r="366" spans="1:40" ht="12.75">
      <c r="A366" s="774"/>
      <c r="B366" s="737"/>
      <c r="C366" s="782"/>
      <c r="D366" s="784"/>
      <c r="E366" s="776"/>
      <c r="F366" s="781"/>
      <c r="G366" s="15" t="s">
        <v>17</v>
      </c>
      <c r="H366" s="16"/>
      <c r="I366" s="114"/>
      <c r="J366" s="18"/>
      <c r="K366" s="18"/>
      <c r="L366" s="18"/>
      <c r="M366" s="18"/>
      <c r="N366" s="18"/>
      <c r="O366" s="18"/>
      <c r="P366" s="18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779"/>
    </row>
    <row r="367" spans="1:40" ht="12.75">
      <c r="A367" s="774"/>
      <c r="B367" s="737"/>
      <c r="C367" s="782"/>
      <c r="D367" s="784"/>
      <c r="E367" s="727"/>
      <c r="F367" s="21" t="s">
        <v>18</v>
      </c>
      <c r="G367" s="15" t="s">
        <v>19</v>
      </c>
      <c r="H367" s="16"/>
      <c r="I367" s="114"/>
      <c r="J367" s="18"/>
      <c r="K367" s="18"/>
      <c r="L367" s="18"/>
      <c r="M367" s="18"/>
      <c r="N367" s="18"/>
      <c r="O367" s="18"/>
      <c r="P367" s="18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779"/>
    </row>
    <row r="368" spans="1:40" ht="12.75">
      <c r="A368" s="774"/>
      <c r="B368" s="737"/>
      <c r="C368" s="782"/>
      <c r="D368" s="784"/>
      <c r="E368" s="723">
        <v>2012</v>
      </c>
      <c r="F368" s="746">
        <f>SUM(H371:AM371)</f>
        <v>79000000</v>
      </c>
      <c r="G368" s="15" t="s">
        <v>23</v>
      </c>
      <c r="H368" s="16"/>
      <c r="I368" s="114"/>
      <c r="J368" s="18"/>
      <c r="K368" s="18"/>
      <c r="L368" s="18"/>
      <c r="M368" s="18"/>
      <c r="N368" s="18"/>
      <c r="O368" s="18"/>
      <c r="P368" s="18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779"/>
    </row>
    <row r="369" spans="1:40" ht="12.75">
      <c r="A369" s="774"/>
      <c r="B369" s="737"/>
      <c r="C369" s="782"/>
      <c r="D369" s="784"/>
      <c r="E369" s="776"/>
      <c r="F369" s="781"/>
      <c r="G369" s="15" t="s">
        <v>24</v>
      </c>
      <c r="H369" s="16"/>
      <c r="I369" s="114"/>
      <c r="J369" s="18"/>
      <c r="K369" s="18"/>
      <c r="L369" s="18"/>
      <c r="M369" s="18"/>
      <c r="N369" s="18"/>
      <c r="O369" s="18"/>
      <c r="P369" s="18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779"/>
    </row>
    <row r="370" spans="1:40" ht="12.75">
      <c r="A370" s="774"/>
      <c r="B370" s="737"/>
      <c r="C370" s="782"/>
      <c r="D370" s="784"/>
      <c r="E370" s="776"/>
      <c r="F370" s="21" t="s">
        <v>22</v>
      </c>
      <c r="G370" s="15" t="s">
        <v>25</v>
      </c>
      <c r="H370" s="22">
        <f aca="true" t="shared" si="89" ref="H370:AM370">H364+H366+H368</f>
        <v>0</v>
      </c>
      <c r="I370" s="115">
        <f t="shared" si="89"/>
        <v>5929</v>
      </c>
      <c r="J370" s="24">
        <f t="shared" si="89"/>
        <v>5929</v>
      </c>
      <c r="K370" s="24">
        <f t="shared" si="89"/>
        <v>5929</v>
      </c>
      <c r="L370" s="24">
        <f t="shared" si="89"/>
        <v>5929</v>
      </c>
      <c r="M370" s="24">
        <f t="shared" si="89"/>
        <v>5929</v>
      </c>
      <c r="N370" s="24">
        <f t="shared" si="89"/>
        <v>0</v>
      </c>
      <c r="O370" s="24">
        <f t="shared" si="89"/>
        <v>0</v>
      </c>
      <c r="P370" s="24">
        <f t="shared" si="89"/>
        <v>0</v>
      </c>
      <c r="Q370" s="24">
        <f t="shared" si="89"/>
        <v>0</v>
      </c>
      <c r="R370" s="24">
        <f t="shared" si="89"/>
        <v>0</v>
      </c>
      <c r="S370" s="24">
        <f t="shared" si="89"/>
        <v>0</v>
      </c>
      <c r="T370" s="24">
        <f t="shared" si="89"/>
        <v>0</v>
      </c>
      <c r="U370" s="24">
        <f t="shared" si="89"/>
        <v>0</v>
      </c>
      <c r="V370" s="24">
        <f t="shared" si="89"/>
        <v>0</v>
      </c>
      <c r="W370" s="24">
        <f t="shared" si="89"/>
        <v>0</v>
      </c>
      <c r="X370" s="24">
        <f t="shared" si="89"/>
        <v>0</v>
      </c>
      <c r="Y370" s="24">
        <f t="shared" si="89"/>
        <v>0</v>
      </c>
      <c r="Z370" s="24">
        <f t="shared" si="89"/>
        <v>0</v>
      </c>
      <c r="AA370" s="24">
        <f t="shared" si="89"/>
        <v>0</v>
      </c>
      <c r="AB370" s="24">
        <f t="shared" si="89"/>
        <v>0</v>
      </c>
      <c r="AC370" s="24">
        <f t="shared" si="89"/>
        <v>0</v>
      </c>
      <c r="AD370" s="24">
        <f t="shared" si="89"/>
        <v>0</v>
      </c>
      <c r="AE370" s="24">
        <f t="shared" si="89"/>
        <v>0</v>
      </c>
      <c r="AF370" s="24">
        <f t="shared" si="89"/>
        <v>0</v>
      </c>
      <c r="AG370" s="24">
        <f t="shared" si="89"/>
        <v>0</v>
      </c>
      <c r="AH370" s="24">
        <f t="shared" si="89"/>
        <v>0</v>
      </c>
      <c r="AI370" s="24">
        <f t="shared" si="89"/>
        <v>0</v>
      </c>
      <c r="AJ370" s="24">
        <f t="shared" si="89"/>
        <v>0</v>
      </c>
      <c r="AK370" s="24">
        <f t="shared" si="89"/>
        <v>0</v>
      </c>
      <c r="AL370" s="24">
        <f t="shared" si="89"/>
        <v>0</v>
      </c>
      <c r="AM370" s="24">
        <f t="shared" si="89"/>
        <v>0</v>
      </c>
      <c r="AN370" s="779"/>
    </row>
    <row r="371" spans="1:40" ht="13.5" thickBot="1">
      <c r="A371" s="774"/>
      <c r="B371" s="738"/>
      <c r="C371" s="782"/>
      <c r="D371" s="771"/>
      <c r="E371" s="776"/>
      <c r="F371" s="116">
        <f>F365+F368</f>
        <v>79029645</v>
      </c>
      <c r="G371" s="26" t="s">
        <v>26</v>
      </c>
      <c r="H371" s="37">
        <f aca="true" t="shared" si="90" ref="H371:AM371">H365+H367+H369</f>
        <v>68000000</v>
      </c>
      <c r="I371" s="120">
        <f t="shared" si="90"/>
        <v>11000000</v>
      </c>
      <c r="J371" s="29">
        <f t="shared" si="90"/>
        <v>0</v>
      </c>
      <c r="K371" s="29">
        <f t="shared" si="90"/>
        <v>0</v>
      </c>
      <c r="L371" s="29">
        <f t="shared" si="90"/>
        <v>0</v>
      </c>
      <c r="M371" s="29">
        <f t="shared" si="90"/>
        <v>0</v>
      </c>
      <c r="N371" s="29">
        <f t="shared" si="90"/>
        <v>0</v>
      </c>
      <c r="O371" s="29">
        <f t="shared" si="90"/>
        <v>0</v>
      </c>
      <c r="P371" s="29">
        <f t="shared" si="90"/>
        <v>0</v>
      </c>
      <c r="Q371" s="29">
        <f t="shared" si="90"/>
        <v>0</v>
      </c>
      <c r="R371" s="29">
        <f t="shared" si="90"/>
        <v>0</v>
      </c>
      <c r="S371" s="29">
        <f t="shared" si="90"/>
        <v>0</v>
      </c>
      <c r="T371" s="29">
        <f t="shared" si="90"/>
        <v>0</v>
      </c>
      <c r="U371" s="29">
        <f t="shared" si="90"/>
        <v>0</v>
      </c>
      <c r="V371" s="29">
        <f t="shared" si="90"/>
        <v>0</v>
      </c>
      <c r="W371" s="29">
        <f t="shared" si="90"/>
        <v>0</v>
      </c>
      <c r="X371" s="29">
        <f t="shared" si="90"/>
        <v>0</v>
      </c>
      <c r="Y371" s="29">
        <f t="shared" si="90"/>
        <v>0</v>
      </c>
      <c r="Z371" s="29">
        <f t="shared" si="90"/>
        <v>0</v>
      </c>
      <c r="AA371" s="29">
        <f t="shared" si="90"/>
        <v>0</v>
      </c>
      <c r="AB371" s="29">
        <f t="shared" si="90"/>
        <v>0</v>
      </c>
      <c r="AC371" s="29">
        <f t="shared" si="90"/>
        <v>0</v>
      </c>
      <c r="AD371" s="29">
        <f t="shared" si="90"/>
        <v>0</v>
      </c>
      <c r="AE371" s="29">
        <f t="shared" si="90"/>
        <v>0</v>
      </c>
      <c r="AF371" s="29">
        <f t="shared" si="90"/>
        <v>0</v>
      </c>
      <c r="AG371" s="29">
        <f t="shared" si="90"/>
        <v>0</v>
      </c>
      <c r="AH371" s="29">
        <f t="shared" si="90"/>
        <v>0</v>
      </c>
      <c r="AI371" s="29">
        <f t="shared" si="90"/>
        <v>0</v>
      </c>
      <c r="AJ371" s="29">
        <f t="shared" si="90"/>
        <v>0</v>
      </c>
      <c r="AK371" s="29">
        <f t="shared" si="90"/>
        <v>0</v>
      </c>
      <c r="AL371" s="29">
        <f t="shared" si="90"/>
        <v>0</v>
      </c>
      <c r="AM371" s="121">
        <f t="shared" si="90"/>
        <v>0</v>
      </c>
      <c r="AN371" s="780"/>
    </row>
    <row r="372" spans="1:40" ht="12.75" customHeight="1">
      <c r="A372" s="773">
        <v>46</v>
      </c>
      <c r="B372" s="737" t="s">
        <v>160</v>
      </c>
      <c r="C372" s="804">
        <v>92601</v>
      </c>
      <c r="D372" s="783" t="s">
        <v>161</v>
      </c>
      <c r="E372" s="775">
        <v>2009</v>
      </c>
      <c r="F372" s="8" t="s">
        <v>14</v>
      </c>
      <c r="G372" s="32" t="s">
        <v>123</v>
      </c>
      <c r="H372" s="33"/>
      <c r="I372" s="113"/>
      <c r="J372" s="12"/>
      <c r="K372" s="12"/>
      <c r="L372" s="12"/>
      <c r="M372" s="12"/>
      <c r="N372" s="12"/>
      <c r="O372" s="12"/>
      <c r="P372" s="12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803">
        <f>SUM(J379:AM379)</f>
        <v>500000</v>
      </c>
    </row>
    <row r="373" spans="1:40" ht="12.75">
      <c r="A373" s="774"/>
      <c r="B373" s="737"/>
      <c r="C373" s="782"/>
      <c r="D373" s="784"/>
      <c r="E373" s="776"/>
      <c r="F373" s="746">
        <f>SUM(H378:AM378)</f>
        <v>0</v>
      </c>
      <c r="G373" s="15" t="s">
        <v>124</v>
      </c>
      <c r="H373" s="16"/>
      <c r="I373" s="114">
        <v>500000</v>
      </c>
      <c r="J373" s="18">
        <v>500000</v>
      </c>
      <c r="K373" s="18"/>
      <c r="L373" s="18"/>
      <c r="M373" s="18"/>
      <c r="N373" s="18"/>
      <c r="O373" s="18"/>
      <c r="P373" s="18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779"/>
    </row>
    <row r="374" spans="1:40" ht="12.75">
      <c r="A374" s="774"/>
      <c r="B374" s="737"/>
      <c r="C374" s="782"/>
      <c r="D374" s="784"/>
      <c r="E374" s="776"/>
      <c r="F374" s="781"/>
      <c r="G374" s="15" t="s">
        <v>17</v>
      </c>
      <c r="H374" s="16"/>
      <c r="I374" s="114"/>
      <c r="J374" s="18"/>
      <c r="K374" s="18"/>
      <c r="L374" s="18"/>
      <c r="M374" s="18"/>
      <c r="N374" s="18"/>
      <c r="O374" s="18"/>
      <c r="P374" s="18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779"/>
    </row>
    <row r="375" spans="1:40" ht="12.75">
      <c r="A375" s="774"/>
      <c r="B375" s="737"/>
      <c r="C375" s="782"/>
      <c r="D375" s="784"/>
      <c r="E375" s="727"/>
      <c r="F375" s="21" t="s">
        <v>18</v>
      </c>
      <c r="G375" s="15" t="s">
        <v>19</v>
      </c>
      <c r="H375" s="16"/>
      <c r="I375" s="114"/>
      <c r="J375" s="18"/>
      <c r="K375" s="18"/>
      <c r="L375" s="18"/>
      <c r="M375" s="18"/>
      <c r="N375" s="18"/>
      <c r="O375" s="18"/>
      <c r="P375" s="18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779"/>
    </row>
    <row r="376" spans="1:40" ht="12.75">
      <c r="A376" s="774"/>
      <c r="B376" s="737"/>
      <c r="C376" s="782"/>
      <c r="D376" s="784"/>
      <c r="E376" s="723">
        <v>2011</v>
      </c>
      <c r="F376" s="746">
        <f>SUM(H379:AM379)</f>
        <v>1000000</v>
      </c>
      <c r="G376" s="15" t="s">
        <v>23</v>
      </c>
      <c r="H376" s="16"/>
      <c r="I376" s="114"/>
      <c r="J376" s="18"/>
      <c r="K376" s="18"/>
      <c r="L376" s="18"/>
      <c r="M376" s="18"/>
      <c r="N376" s="18"/>
      <c r="O376" s="18"/>
      <c r="P376" s="18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779"/>
    </row>
    <row r="377" spans="1:40" ht="12.75">
      <c r="A377" s="774"/>
      <c r="B377" s="737"/>
      <c r="C377" s="782"/>
      <c r="D377" s="784"/>
      <c r="E377" s="776"/>
      <c r="F377" s="781"/>
      <c r="G377" s="15" t="s">
        <v>24</v>
      </c>
      <c r="H377" s="16"/>
      <c r="I377" s="114"/>
      <c r="J377" s="18"/>
      <c r="K377" s="18"/>
      <c r="L377" s="18"/>
      <c r="M377" s="18"/>
      <c r="N377" s="18"/>
      <c r="O377" s="18"/>
      <c r="P377" s="18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779"/>
    </row>
    <row r="378" spans="1:40" ht="12.75">
      <c r="A378" s="774"/>
      <c r="B378" s="737"/>
      <c r="C378" s="782"/>
      <c r="D378" s="784"/>
      <c r="E378" s="776"/>
      <c r="F378" s="21" t="s">
        <v>22</v>
      </c>
      <c r="G378" s="15" t="s">
        <v>25</v>
      </c>
      <c r="H378" s="22">
        <f aca="true" t="shared" si="91" ref="H378:AM378">H372+H374+H376</f>
        <v>0</v>
      </c>
      <c r="I378" s="115">
        <f t="shared" si="91"/>
        <v>0</v>
      </c>
      <c r="J378" s="24">
        <f t="shared" si="91"/>
        <v>0</v>
      </c>
      <c r="K378" s="24">
        <f t="shared" si="91"/>
        <v>0</v>
      </c>
      <c r="L378" s="24">
        <f t="shared" si="91"/>
        <v>0</v>
      </c>
      <c r="M378" s="24">
        <f t="shared" si="91"/>
        <v>0</v>
      </c>
      <c r="N378" s="24">
        <f t="shared" si="91"/>
        <v>0</v>
      </c>
      <c r="O378" s="24">
        <f t="shared" si="91"/>
        <v>0</v>
      </c>
      <c r="P378" s="24">
        <f t="shared" si="91"/>
        <v>0</v>
      </c>
      <c r="Q378" s="24">
        <f t="shared" si="91"/>
        <v>0</v>
      </c>
      <c r="R378" s="24">
        <f t="shared" si="91"/>
        <v>0</v>
      </c>
      <c r="S378" s="24">
        <f t="shared" si="91"/>
        <v>0</v>
      </c>
      <c r="T378" s="24">
        <f t="shared" si="91"/>
        <v>0</v>
      </c>
      <c r="U378" s="24">
        <f t="shared" si="91"/>
        <v>0</v>
      </c>
      <c r="V378" s="24">
        <f t="shared" si="91"/>
        <v>0</v>
      </c>
      <c r="W378" s="24">
        <f t="shared" si="91"/>
        <v>0</v>
      </c>
      <c r="X378" s="24">
        <f t="shared" si="91"/>
        <v>0</v>
      </c>
      <c r="Y378" s="24">
        <f t="shared" si="91"/>
        <v>0</v>
      </c>
      <c r="Z378" s="24">
        <f t="shared" si="91"/>
        <v>0</v>
      </c>
      <c r="AA378" s="24">
        <f t="shared" si="91"/>
        <v>0</v>
      </c>
      <c r="AB378" s="24">
        <f t="shared" si="91"/>
        <v>0</v>
      </c>
      <c r="AC378" s="24">
        <f t="shared" si="91"/>
        <v>0</v>
      </c>
      <c r="AD378" s="24">
        <f t="shared" si="91"/>
        <v>0</v>
      </c>
      <c r="AE378" s="24">
        <f t="shared" si="91"/>
        <v>0</v>
      </c>
      <c r="AF378" s="24">
        <f t="shared" si="91"/>
        <v>0</v>
      </c>
      <c r="AG378" s="24">
        <f t="shared" si="91"/>
        <v>0</v>
      </c>
      <c r="AH378" s="24">
        <f t="shared" si="91"/>
        <v>0</v>
      </c>
      <c r="AI378" s="24">
        <f t="shared" si="91"/>
        <v>0</v>
      </c>
      <c r="AJ378" s="24">
        <f t="shared" si="91"/>
        <v>0</v>
      </c>
      <c r="AK378" s="24">
        <f t="shared" si="91"/>
        <v>0</v>
      </c>
      <c r="AL378" s="24">
        <f t="shared" si="91"/>
        <v>0</v>
      </c>
      <c r="AM378" s="24">
        <f t="shared" si="91"/>
        <v>0</v>
      </c>
      <c r="AN378" s="779"/>
    </row>
    <row r="379" spans="1:40" ht="13.5" thickBot="1">
      <c r="A379" s="774"/>
      <c r="B379" s="737"/>
      <c r="C379" s="782"/>
      <c r="D379" s="771"/>
      <c r="E379" s="776"/>
      <c r="F379" s="116">
        <f>F373+F376</f>
        <v>1000000</v>
      </c>
      <c r="G379" s="26" t="s">
        <v>26</v>
      </c>
      <c r="H379" s="37">
        <f aca="true" t="shared" si="92" ref="H379:AM379">H373+H375+H377</f>
        <v>0</v>
      </c>
      <c r="I379" s="117">
        <f t="shared" si="92"/>
        <v>500000</v>
      </c>
      <c r="J379" s="30">
        <f t="shared" si="92"/>
        <v>500000</v>
      </c>
      <c r="K379" s="30">
        <f t="shared" si="92"/>
        <v>0</v>
      </c>
      <c r="L379" s="30">
        <f t="shared" si="92"/>
        <v>0</v>
      </c>
      <c r="M379" s="30">
        <f t="shared" si="92"/>
        <v>0</v>
      </c>
      <c r="N379" s="30">
        <f t="shared" si="92"/>
        <v>0</v>
      </c>
      <c r="O379" s="30">
        <f t="shared" si="92"/>
        <v>0</v>
      </c>
      <c r="P379" s="30">
        <f t="shared" si="92"/>
        <v>0</v>
      </c>
      <c r="Q379" s="30">
        <f t="shared" si="92"/>
        <v>0</v>
      </c>
      <c r="R379" s="30">
        <f t="shared" si="92"/>
        <v>0</v>
      </c>
      <c r="S379" s="30">
        <f t="shared" si="92"/>
        <v>0</v>
      </c>
      <c r="T379" s="30">
        <f t="shared" si="92"/>
        <v>0</v>
      </c>
      <c r="U379" s="30">
        <f t="shared" si="92"/>
        <v>0</v>
      </c>
      <c r="V379" s="30">
        <f t="shared" si="92"/>
        <v>0</v>
      </c>
      <c r="W379" s="30">
        <f t="shared" si="92"/>
        <v>0</v>
      </c>
      <c r="X379" s="30">
        <f t="shared" si="92"/>
        <v>0</v>
      </c>
      <c r="Y379" s="30">
        <f t="shared" si="92"/>
        <v>0</v>
      </c>
      <c r="Z379" s="30">
        <f t="shared" si="92"/>
        <v>0</v>
      </c>
      <c r="AA379" s="30">
        <f t="shared" si="92"/>
        <v>0</v>
      </c>
      <c r="AB379" s="30">
        <f t="shared" si="92"/>
        <v>0</v>
      </c>
      <c r="AC379" s="30">
        <f t="shared" si="92"/>
        <v>0</v>
      </c>
      <c r="AD379" s="30">
        <f t="shared" si="92"/>
        <v>0</v>
      </c>
      <c r="AE379" s="30">
        <f t="shared" si="92"/>
        <v>0</v>
      </c>
      <c r="AF379" s="30">
        <f t="shared" si="92"/>
        <v>0</v>
      </c>
      <c r="AG379" s="30">
        <f t="shared" si="92"/>
        <v>0</v>
      </c>
      <c r="AH379" s="30">
        <f t="shared" si="92"/>
        <v>0</v>
      </c>
      <c r="AI379" s="30">
        <f t="shared" si="92"/>
        <v>0</v>
      </c>
      <c r="AJ379" s="30">
        <f t="shared" si="92"/>
        <v>0</v>
      </c>
      <c r="AK379" s="30">
        <f t="shared" si="92"/>
        <v>0</v>
      </c>
      <c r="AL379" s="30">
        <f t="shared" si="92"/>
        <v>0</v>
      </c>
      <c r="AM379" s="30">
        <f t="shared" si="92"/>
        <v>0</v>
      </c>
      <c r="AN379" s="780"/>
    </row>
    <row r="380" spans="1:40" ht="12.75">
      <c r="A380" s="773">
        <v>47</v>
      </c>
      <c r="B380" s="752" t="s">
        <v>162</v>
      </c>
      <c r="C380" s="804">
        <v>92601</v>
      </c>
      <c r="D380" s="783" t="s">
        <v>161</v>
      </c>
      <c r="E380" s="775">
        <v>2011</v>
      </c>
      <c r="F380" s="8" t="s">
        <v>14</v>
      </c>
      <c r="G380" s="32" t="s">
        <v>15</v>
      </c>
      <c r="H380" s="33"/>
      <c r="I380" s="118"/>
      <c r="J380" s="34"/>
      <c r="K380" s="34"/>
      <c r="L380" s="34"/>
      <c r="M380" s="34"/>
      <c r="N380" s="34"/>
      <c r="O380" s="34"/>
      <c r="P380" s="34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803">
        <f>SUM(J387:AM387)</f>
        <v>200000</v>
      </c>
    </row>
    <row r="381" spans="1:40" ht="12.75">
      <c r="A381" s="774"/>
      <c r="B381" s="737"/>
      <c r="C381" s="782"/>
      <c r="D381" s="784"/>
      <c r="E381" s="776"/>
      <c r="F381" s="746">
        <f>SUM(H386:AM386)</f>
        <v>0</v>
      </c>
      <c r="G381" s="15" t="s">
        <v>16</v>
      </c>
      <c r="H381" s="16"/>
      <c r="I381" s="114">
        <v>1000000</v>
      </c>
      <c r="J381" s="18">
        <v>200000</v>
      </c>
      <c r="K381" s="18"/>
      <c r="L381" s="18"/>
      <c r="M381" s="18"/>
      <c r="N381" s="18"/>
      <c r="O381" s="18"/>
      <c r="P381" s="18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779"/>
    </row>
    <row r="382" spans="1:40" ht="12.75">
      <c r="A382" s="774"/>
      <c r="B382" s="737"/>
      <c r="C382" s="782"/>
      <c r="D382" s="784"/>
      <c r="E382" s="776"/>
      <c r="F382" s="781"/>
      <c r="G382" s="15" t="s">
        <v>17</v>
      </c>
      <c r="H382" s="16"/>
      <c r="I382" s="114"/>
      <c r="J382" s="18"/>
      <c r="K382" s="18"/>
      <c r="L382" s="18"/>
      <c r="M382" s="18"/>
      <c r="N382" s="18"/>
      <c r="O382" s="18"/>
      <c r="P382" s="18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779"/>
    </row>
    <row r="383" spans="1:40" ht="12.75">
      <c r="A383" s="774"/>
      <c r="B383" s="737"/>
      <c r="C383" s="782"/>
      <c r="D383" s="784"/>
      <c r="E383" s="727"/>
      <c r="F383" s="21" t="s">
        <v>18</v>
      </c>
      <c r="G383" s="15" t="s">
        <v>19</v>
      </c>
      <c r="H383" s="16"/>
      <c r="I383" s="114"/>
      <c r="J383" s="18"/>
      <c r="K383" s="18"/>
      <c r="L383" s="18"/>
      <c r="M383" s="18"/>
      <c r="N383" s="18"/>
      <c r="O383" s="18"/>
      <c r="P383" s="18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779"/>
    </row>
    <row r="384" spans="1:40" ht="12.75">
      <c r="A384" s="774"/>
      <c r="B384" s="737"/>
      <c r="C384" s="782"/>
      <c r="D384" s="784"/>
      <c r="E384" s="723">
        <v>2012</v>
      </c>
      <c r="F384" s="746">
        <f>SUM(H387:AM387)</f>
        <v>1200000</v>
      </c>
      <c r="G384" s="15" t="s">
        <v>23</v>
      </c>
      <c r="H384" s="16"/>
      <c r="I384" s="114"/>
      <c r="J384" s="18"/>
      <c r="K384" s="18"/>
      <c r="L384" s="18"/>
      <c r="M384" s="18"/>
      <c r="N384" s="18"/>
      <c r="O384" s="18"/>
      <c r="P384" s="18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779"/>
    </row>
    <row r="385" spans="1:40" ht="12.75">
      <c r="A385" s="774"/>
      <c r="B385" s="737"/>
      <c r="C385" s="782"/>
      <c r="D385" s="784"/>
      <c r="E385" s="776"/>
      <c r="F385" s="781"/>
      <c r="G385" s="15" t="s">
        <v>24</v>
      </c>
      <c r="H385" s="16"/>
      <c r="I385" s="114"/>
      <c r="J385" s="18"/>
      <c r="K385" s="18"/>
      <c r="L385" s="18"/>
      <c r="M385" s="18"/>
      <c r="N385" s="18"/>
      <c r="O385" s="18"/>
      <c r="P385" s="18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779"/>
    </row>
    <row r="386" spans="1:40" ht="12.75">
      <c r="A386" s="774"/>
      <c r="B386" s="737"/>
      <c r="C386" s="782"/>
      <c r="D386" s="784"/>
      <c r="E386" s="776"/>
      <c r="F386" s="21" t="s">
        <v>22</v>
      </c>
      <c r="G386" s="15" t="s">
        <v>25</v>
      </c>
      <c r="H386" s="22">
        <f aca="true" t="shared" si="93" ref="H386:AM386">H380+H382+H384</f>
        <v>0</v>
      </c>
      <c r="I386" s="115">
        <f t="shared" si="93"/>
        <v>0</v>
      </c>
      <c r="J386" s="24">
        <f t="shared" si="93"/>
        <v>0</v>
      </c>
      <c r="K386" s="24">
        <f t="shared" si="93"/>
        <v>0</v>
      </c>
      <c r="L386" s="24">
        <f t="shared" si="93"/>
        <v>0</v>
      </c>
      <c r="M386" s="24">
        <f t="shared" si="93"/>
        <v>0</v>
      </c>
      <c r="N386" s="24">
        <f t="shared" si="93"/>
        <v>0</v>
      </c>
      <c r="O386" s="24">
        <f t="shared" si="93"/>
        <v>0</v>
      </c>
      <c r="P386" s="24">
        <f t="shared" si="93"/>
        <v>0</v>
      </c>
      <c r="Q386" s="24">
        <f t="shared" si="93"/>
        <v>0</v>
      </c>
      <c r="R386" s="24">
        <f t="shared" si="93"/>
        <v>0</v>
      </c>
      <c r="S386" s="24">
        <f t="shared" si="93"/>
        <v>0</v>
      </c>
      <c r="T386" s="24">
        <f t="shared" si="93"/>
        <v>0</v>
      </c>
      <c r="U386" s="24">
        <f t="shared" si="93"/>
        <v>0</v>
      </c>
      <c r="V386" s="24">
        <f t="shared" si="93"/>
        <v>0</v>
      </c>
      <c r="W386" s="24">
        <f t="shared" si="93"/>
        <v>0</v>
      </c>
      <c r="X386" s="24">
        <f t="shared" si="93"/>
        <v>0</v>
      </c>
      <c r="Y386" s="24">
        <f t="shared" si="93"/>
        <v>0</v>
      </c>
      <c r="Z386" s="24">
        <f t="shared" si="93"/>
        <v>0</v>
      </c>
      <c r="AA386" s="24">
        <f t="shared" si="93"/>
        <v>0</v>
      </c>
      <c r="AB386" s="24">
        <f t="shared" si="93"/>
        <v>0</v>
      </c>
      <c r="AC386" s="24">
        <f t="shared" si="93"/>
        <v>0</v>
      </c>
      <c r="AD386" s="24">
        <f t="shared" si="93"/>
        <v>0</v>
      </c>
      <c r="AE386" s="24">
        <f t="shared" si="93"/>
        <v>0</v>
      </c>
      <c r="AF386" s="24">
        <f t="shared" si="93"/>
        <v>0</v>
      </c>
      <c r="AG386" s="24">
        <f t="shared" si="93"/>
        <v>0</v>
      </c>
      <c r="AH386" s="24">
        <f t="shared" si="93"/>
        <v>0</v>
      </c>
      <c r="AI386" s="24">
        <f t="shared" si="93"/>
        <v>0</v>
      </c>
      <c r="AJ386" s="24">
        <f t="shared" si="93"/>
        <v>0</v>
      </c>
      <c r="AK386" s="24">
        <f t="shared" si="93"/>
        <v>0</v>
      </c>
      <c r="AL386" s="24">
        <f t="shared" si="93"/>
        <v>0</v>
      </c>
      <c r="AM386" s="24">
        <f t="shared" si="93"/>
        <v>0</v>
      </c>
      <c r="AN386" s="779"/>
    </row>
    <row r="387" spans="1:40" ht="13.5" thickBot="1">
      <c r="A387" s="806"/>
      <c r="B387" s="738"/>
      <c r="C387" s="805"/>
      <c r="D387" s="771"/>
      <c r="E387" s="777"/>
      <c r="F387" s="116">
        <f>F381+F384</f>
        <v>1200000</v>
      </c>
      <c r="G387" s="36" t="s">
        <v>26</v>
      </c>
      <c r="H387" s="37">
        <f aca="true" t="shared" si="94" ref="H387:AM387">H381+H383+H385</f>
        <v>0</v>
      </c>
      <c r="I387" s="119">
        <f t="shared" si="94"/>
        <v>1000000</v>
      </c>
      <c r="J387" s="29">
        <f t="shared" si="94"/>
        <v>200000</v>
      </c>
      <c r="K387" s="29">
        <f t="shared" si="94"/>
        <v>0</v>
      </c>
      <c r="L387" s="29">
        <f t="shared" si="94"/>
        <v>0</v>
      </c>
      <c r="M387" s="29">
        <f t="shared" si="94"/>
        <v>0</v>
      </c>
      <c r="N387" s="29">
        <f t="shared" si="94"/>
        <v>0</v>
      </c>
      <c r="O387" s="29">
        <f t="shared" si="94"/>
        <v>0</v>
      </c>
      <c r="P387" s="29">
        <f t="shared" si="94"/>
        <v>0</v>
      </c>
      <c r="Q387" s="29">
        <f t="shared" si="94"/>
        <v>0</v>
      </c>
      <c r="R387" s="29">
        <f t="shared" si="94"/>
        <v>0</v>
      </c>
      <c r="S387" s="29">
        <f t="shared" si="94"/>
        <v>0</v>
      </c>
      <c r="T387" s="29">
        <f t="shared" si="94"/>
        <v>0</v>
      </c>
      <c r="U387" s="29">
        <f t="shared" si="94"/>
        <v>0</v>
      </c>
      <c r="V387" s="29">
        <f t="shared" si="94"/>
        <v>0</v>
      </c>
      <c r="W387" s="29">
        <f t="shared" si="94"/>
        <v>0</v>
      </c>
      <c r="X387" s="29">
        <f t="shared" si="94"/>
        <v>0</v>
      </c>
      <c r="Y387" s="29">
        <f t="shared" si="94"/>
        <v>0</v>
      </c>
      <c r="Z387" s="29">
        <f t="shared" si="94"/>
        <v>0</v>
      </c>
      <c r="AA387" s="29">
        <f t="shared" si="94"/>
        <v>0</v>
      </c>
      <c r="AB387" s="29">
        <f t="shared" si="94"/>
        <v>0</v>
      </c>
      <c r="AC387" s="29">
        <f t="shared" si="94"/>
        <v>0</v>
      </c>
      <c r="AD387" s="29">
        <f t="shared" si="94"/>
        <v>0</v>
      </c>
      <c r="AE387" s="29">
        <f t="shared" si="94"/>
        <v>0</v>
      </c>
      <c r="AF387" s="29">
        <f t="shared" si="94"/>
        <v>0</v>
      </c>
      <c r="AG387" s="29">
        <f t="shared" si="94"/>
        <v>0</v>
      </c>
      <c r="AH387" s="29">
        <f t="shared" si="94"/>
        <v>0</v>
      </c>
      <c r="AI387" s="29">
        <f t="shared" si="94"/>
        <v>0</v>
      </c>
      <c r="AJ387" s="29">
        <f t="shared" si="94"/>
        <v>0</v>
      </c>
      <c r="AK387" s="29">
        <f t="shared" si="94"/>
        <v>0</v>
      </c>
      <c r="AL387" s="29">
        <f t="shared" si="94"/>
        <v>0</v>
      </c>
      <c r="AM387" s="29">
        <f t="shared" si="94"/>
        <v>0</v>
      </c>
      <c r="AN387" s="780"/>
    </row>
    <row r="388" spans="1:40" ht="12.75" customHeight="1">
      <c r="A388" s="773">
        <v>48</v>
      </c>
      <c r="B388" s="752" t="s">
        <v>163</v>
      </c>
      <c r="C388" s="804">
        <v>92601</v>
      </c>
      <c r="D388" s="783" t="s">
        <v>164</v>
      </c>
      <c r="E388" s="775">
        <v>2010</v>
      </c>
      <c r="F388" s="8" t="s">
        <v>14</v>
      </c>
      <c r="G388" s="32" t="s">
        <v>15</v>
      </c>
      <c r="H388" s="33"/>
      <c r="I388" s="118"/>
      <c r="J388" s="34"/>
      <c r="K388" s="34"/>
      <c r="L388" s="34"/>
      <c r="M388" s="34"/>
      <c r="N388" s="34"/>
      <c r="O388" s="34"/>
      <c r="P388" s="34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803">
        <f>SUM(J395:AM395)</f>
        <v>0</v>
      </c>
    </row>
    <row r="389" spans="1:40" ht="12.75">
      <c r="A389" s="774"/>
      <c r="B389" s="737"/>
      <c r="C389" s="782"/>
      <c r="D389" s="784"/>
      <c r="E389" s="776"/>
      <c r="F389" s="746">
        <f>SUM(H394:AM394)</f>
        <v>0</v>
      </c>
      <c r="G389" s="15" t="s">
        <v>16</v>
      </c>
      <c r="H389" s="16">
        <v>100000</v>
      </c>
      <c r="I389" s="114">
        <v>850000</v>
      </c>
      <c r="J389" s="18"/>
      <c r="K389" s="18"/>
      <c r="L389" s="18"/>
      <c r="M389" s="18"/>
      <c r="N389" s="18"/>
      <c r="O389" s="18"/>
      <c r="P389" s="18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779"/>
    </row>
    <row r="390" spans="1:40" ht="12.75">
      <c r="A390" s="774"/>
      <c r="B390" s="737"/>
      <c r="C390" s="782"/>
      <c r="D390" s="784"/>
      <c r="E390" s="776"/>
      <c r="F390" s="781"/>
      <c r="G390" s="15" t="s">
        <v>17</v>
      </c>
      <c r="H390" s="16"/>
      <c r="I390" s="114"/>
      <c r="J390" s="18"/>
      <c r="K390" s="18"/>
      <c r="L390" s="18"/>
      <c r="M390" s="18"/>
      <c r="N390" s="18"/>
      <c r="O390" s="18"/>
      <c r="P390" s="18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779"/>
    </row>
    <row r="391" spans="1:40" ht="12.75">
      <c r="A391" s="774"/>
      <c r="B391" s="737"/>
      <c r="C391" s="782"/>
      <c r="D391" s="784"/>
      <c r="E391" s="727"/>
      <c r="F391" s="21" t="s">
        <v>18</v>
      </c>
      <c r="G391" s="15" t="s">
        <v>19</v>
      </c>
      <c r="H391" s="16"/>
      <c r="I391" s="114"/>
      <c r="J391" s="18"/>
      <c r="K391" s="18"/>
      <c r="L391" s="18"/>
      <c r="M391" s="18"/>
      <c r="N391" s="18"/>
      <c r="O391" s="18"/>
      <c r="P391" s="18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779"/>
    </row>
    <row r="392" spans="1:40" ht="12.75">
      <c r="A392" s="774"/>
      <c r="B392" s="737"/>
      <c r="C392" s="782"/>
      <c r="D392" s="784"/>
      <c r="E392" s="723">
        <v>2011</v>
      </c>
      <c r="F392" s="746">
        <f>SUM(H395:AM395)</f>
        <v>950000</v>
      </c>
      <c r="G392" s="15" t="s">
        <v>23</v>
      </c>
      <c r="H392" s="16"/>
      <c r="I392" s="114"/>
      <c r="J392" s="18"/>
      <c r="K392" s="18"/>
      <c r="L392" s="18"/>
      <c r="M392" s="18"/>
      <c r="N392" s="18"/>
      <c r="O392" s="18"/>
      <c r="P392" s="18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779"/>
    </row>
    <row r="393" spans="1:40" ht="12.75">
      <c r="A393" s="774"/>
      <c r="B393" s="737"/>
      <c r="C393" s="782"/>
      <c r="D393" s="784"/>
      <c r="E393" s="776"/>
      <c r="F393" s="781"/>
      <c r="G393" s="15" t="s">
        <v>24</v>
      </c>
      <c r="H393" s="16"/>
      <c r="I393" s="114"/>
      <c r="J393" s="18"/>
      <c r="K393" s="18"/>
      <c r="L393" s="18"/>
      <c r="M393" s="18"/>
      <c r="N393" s="18"/>
      <c r="O393" s="18"/>
      <c r="P393" s="18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779"/>
    </row>
    <row r="394" spans="1:40" ht="12.75">
      <c r="A394" s="774"/>
      <c r="B394" s="737"/>
      <c r="C394" s="782"/>
      <c r="D394" s="784"/>
      <c r="E394" s="776"/>
      <c r="F394" s="21" t="s">
        <v>22</v>
      </c>
      <c r="G394" s="15" t="s">
        <v>25</v>
      </c>
      <c r="H394" s="22">
        <f aca="true" t="shared" si="95" ref="H394:AM394">H388+H390+H392</f>
        <v>0</v>
      </c>
      <c r="I394" s="115">
        <f t="shared" si="95"/>
        <v>0</v>
      </c>
      <c r="J394" s="24">
        <f t="shared" si="95"/>
        <v>0</v>
      </c>
      <c r="K394" s="24">
        <f t="shared" si="95"/>
        <v>0</v>
      </c>
      <c r="L394" s="24">
        <f t="shared" si="95"/>
        <v>0</v>
      </c>
      <c r="M394" s="24">
        <f t="shared" si="95"/>
        <v>0</v>
      </c>
      <c r="N394" s="24">
        <f t="shared" si="95"/>
        <v>0</v>
      </c>
      <c r="O394" s="24">
        <f t="shared" si="95"/>
        <v>0</v>
      </c>
      <c r="P394" s="24">
        <f t="shared" si="95"/>
        <v>0</v>
      </c>
      <c r="Q394" s="24">
        <f t="shared" si="95"/>
        <v>0</v>
      </c>
      <c r="R394" s="24">
        <f t="shared" si="95"/>
        <v>0</v>
      </c>
      <c r="S394" s="24">
        <f t="shared" si="95"/>
        <v>0</v>
      </c>
      <c r="T394" s="24">
        <f t="shared" si="95"/>
        <v>0</v>
      </c>
      <c r="U394" s="24">
        <f t="shared" si="95"/>
        <v>0</v>
      </c>
      <c r="V394" s="24">
        <f t="shared" si="95"/>
        <v>0</v>
      </c>
      <c r="W394" s="24">
        <f t="shared" si="95"/>
        <v>0</v>
      </c>
      <c r="X394" s="24">
        <f t="shared" si="95"/>
        <v>0</v>
      </c>
      <c r="Y394" s="24">
        <f t="shared" si="95"/>
        <v>0</v>
      </c>
      <c r="Z394" s="24">
        <f t="shared" si="95"/>
        <v>0</v>
      </c>
      <c r="AA394" s="24">
        <f t="shared" si="95"/>
        <v>0</v>
      </c>
      <c r="AB394" s="24">
        <f t="shared" si="95"/>
        <v>0</v>
      </c>
      <c r="AC394" s="24">
        <f t="shared" si="95"/>
        <v>0</v>
      </c>
      <c r="AD394" s="24">
        <f t="shared" si="95"/>
        <v>0</v>
      </c>
      <c r="AE394" s="24">
        <f t="shared" si="95"/>
        <v>0</v>
      </c>
      <c r="AF394" s="24">
        <f t="shared" si="95"/>
        <v>0</v>
      </c>
      <c r="AG394" s="24">
        <f t="shared" si="95"/>
        <v>0</v>
      </c>
      <c r="AH394" s="24">
        <f t="shared" si="95"/>
        <v>0</v>
      </c>
      <c r="AI394" s="24">
        <f t="shared" si="95"/>
        <v>0</v>
      </c>
      <c r="AJ394" s="24">
        <f t="shared" si="95"/>
        <v>0</v>
      </c>
      <c r="AK394" s="24">
        <f t="shared" si="95"/>
        <v>0</v>
      </c>
      <c r="AL394" s="24">
        <f t="shared" si="95"/>
        <v>0</v>
      </c>
      <c r="AM394" s="24">
        <f t="shared" si="95"/>
        <v>0</v>
      </c>
      <c r="AN394" s="779"/>
    </row>
    <row r="395" spans="1:40" ht="13.5" thickBot="1">
      <c r="A395" s="806"/>
      <c r="B395" s="738"/>
      <c r="C395" s="805"/>
      <c r="D395" s="784"/>
      <c r="E395" s="777"/>
      <c r="F395" s="116">
        <f>F389+F392</f>
        <v>950000</v>
      </c>
      <c r="G395" s="36" t="s">
        <v>26</v>
      </c>
      <c r="H395" s="37">
        <f aca="true" t="shared" si="96" ref="H395:AM395">H389+H391+H393</f>
        <v>100000</v>
      </c>
      <c r="I395" s="119">
        <f t="shared" si="96"/>
        <v>850000</v>
      </c>
      <c r="J395" s="29">
        <f t="shared" si="96"/>
        <v>0</v>
      </c>
      <c r="K395" s="29">
        <f t="shared" si="96"/>
        <v>0</v>
      </c>
      <c r="L395" s="29">
        <f t="shared" si="96"/>
        <v>0</v>
      </c>
      <c r="M395" s="29">
        <f t="shared" si="96"/>
        <v>0</v>
      </c>
      <c r="N395" s="29">
        <f t="shared" si="96"/>
        <v>0</v>
      </c>
      <c r="O395" s="29">
        <f t="shared" si="96"/>
        <v>0</v>
      </c>
      <c r="P395" s="29">
        <f t="shared" si="96"/>
        <v>0</v>
      </c>
      <c r="Q395" s="29">
        <f t="shared" si="96"/>
        <v>0</v>
      </c>
      <c r="R395" s="29">
        <f t="shared" si="96"/>
        <v>0</v>
      </c>
      <c r="S395" s="29">
        <f t="shared" si="96"/>
        <v>0</v>
      </c>
      <c r="T395" s="29">
        <f t="shared" si="96"/>
        <v>0</v>
      </c>
      <c r="U395" s="29">
        <f t="shared" si="96"/>
        <v>0</v>
      </c>
      <c r="V395" s="29">
        <f t="shared" si="96"/>
        <v>0</v>
      </c>
      <c r="W395" s="29">
        <f t="shared" si="96"/>
        <v>0</v>
      </c>
      <c r="X395" s="29">
        <f t="shared" si="96"/>
        <v>0</v>
      </c>
      <c r="Y395" s="29">
        <f t="shared" si="96"/>
        <v>0</v>
      </c>
      <c r="Z395" s="29">
        <f t="shared" si="96"/>
        <v>0</v>
      </c>
      <c r="AA395" s="29">
        <f t="shared" si="96"/>
        <v>0</v>
      </c>
      <c r="AB395" s="29">
        <f t="shared" si="96"/>
        <v>0</v>
      </c>
      <c r="AC395" s="29">
        <f t="shared" si="96"/>
        <v>0</v>
      </c>
      <c r="AD395" s="29">
        <f t="shared" si="96"/>
        <v>0</v>
      </c>
      <c r="AE395" s="29">
        <f t="shared" si="96"/>
        <v>0</v>
      </c>
      <c r="AF395" s="29">
        <f t="shared" si="96"/>
        <v>0</v>
      </c>
      <c r="AG395" s="29">
        <f t="shared" si="96"/>
        <v>0</v>
      </c>
      <c r="AH395" s="29">
        <f t="shared" si="96"/>
        <v>0</v>
      </c>
      <c r="AI395" s="29">
        <f t="shared" si="96"/>
        <v>0</v>
      </c>
      <c r="AJ395" s="29">
        <f t="shared" si="96"/>
        <v>0</v>
      </c>
      <c r="AK395" s="29">
        <f t="shared" si="96"/>
        <v>0</v>
      </c>
      <c r="AL395" s="29">
        <f t="shared" si="96"/>
        <v>0</v>
      </c>
      <c r="AM395" s="29">
        <f t="shared" si="96"/>
        <v>0</v>
      </c>
      <c r="AN395" s="780"/>
    </row>
    <row r="396" spans="1:40" ht="12.75" customHeight="1">
      <c r="A396" s="774">
        <v>49</v>
      </c>
      <c r="B396" s="737" t="s">
        <v>135</v>
      </c>
      <c r="C396" s="782">
        <v>92601</v>
      </c>
      <c r="D396" s="783" t="s">
        <v>164</v>
      </c>
      <c r="E396" s="776"/>
      <c r="F396" s="8" t="s">
        <v>14</v>
      </c>
      <c r="G396" s="9" t="s">
        <v>15</v>
      </c>
      <c r="H396" s="33"/>
      <c r="I396" s="113"/>
      <c r="J396" s="12"/>
      <c r="K396" s="12"/>
      <c r="L396" s="12"/>
      <c r="M396" s="12"/>
      <c r="N396" s="12"/>
      <c r="O396" s="12"/>
      <c r="P396" s="12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803">
        <f>SUM(J403:AM403)</f>
        <v>200000</v>
      </c>
    </row>
    <row r="397" spans="1:40" ht="12.75">
      <c r="A397" s="774"/>
      <c r="B397" s="737"/>
      <c r="C397" s="782"/>
      <c r="D397" s="784"/>
      <c r="E397" s="776"/>
      <c r="F397" s="746">
        <f>SUM(H402:AM402)</f>
        <v>0</v>
      </c>
      <c r="G397" s="15" t="s">
        <v>16</v>
      </c>
      <c r="H397" s="16"/>
      <c r="I397" s="114"/>
      <c r="J397" s="18">
        <v>100000</v>
      </c>
      <c r="K397" s="18">
        <v>100000</v>
      </c>
      <c r="L397" s="18"/>
      <c r="M397" s="18"/>
      <c r="N397" s="18"/>
      <c r="O397" s="18"/>
      <c r="P397" s="18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779"/>
    </row>
    <row r="398" spans="1:40" ht="12.75">
      <c r="A398" s="774"/>
      <c r="B398" s="737"/>
      <c r="C398" s="782"/>
      <c r="D398" s="784"/>
      <c r="E398" s="776"/>
      <c r="F398" s="781"/>
      <c r="G398" s="15" t="s">
        <v>17</v>
      </c>
      <c r="H398" s="16"/>
      <c r="I398" s="114"/>
      <c r="J398" s="18"/>
      <c r="K398" s="18"/>
      <c r="L398" s="18"/>
      <c r="M398" s="18"/>
      <c r="N398" s="18"/>
      <c r="O398" s="18"/>
      <c r="P398" s="18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779"/>
    </row>
    <row r="399" spans="1:40" ht="12.75">
      <c r="A399" s="774"/>
      <c r="B399" s="737"/>
      <c r="C399" s="782"/>
      <c r="D399" s="784"/>
      <c r="E399" s="727"/>
      <c r="F399" s="21" t="s">
        <v>18</v>
      </c>
      <c r="G399" s="15" t="s">
        <v>19</v>
      </c>
      <c r="H399" s="16"/>
      <c r="I399" s="114"/>
      <c r="J399" s="18"/>
      <c r="K399" s="18"/>
      <c r="L399" s="18"/>
      <c r="M399" s="18"/>
      <c r="N399" s="18"/>
      <c r="O399" s="18"/>
      <c r="P399" s="18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779"/>
    </row>
    <row r="400" spans="1:40" ht="12.75">
      <c r="A400" s="774"/>
      <c r="B400" s="737"/>
      <c r="C400" s="782"/>
      <c r="D400" s="784"/>
      <c r="E400" s="723"/>
      <c r="F400" s="746">
        <f>SUM(H403:AM403)</f>
        <v>200000</v>
      </c>
      <c r="G400" s="15" t="s">
        <v>23</v>
      </c>
      <c r="H400" s="16"/>
      <c r="I400" s="114"/>
      <c r="J400" s="18"/>
      <c r="K400" s="18"/>
      <c r="L400" s="18"/>
      <c r="M400" s="18"/>
      <c r="N400" s="18"/>
      <c r="O400" s="18"/>
      <c r="P400" s="18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779"/>
    </row>
    <row r="401" spans="1:40" ht="12.75">
      <c r="A401" s="774"/>
      <c r="B401" s="737"/>
      <c r="C401" s="782"/>
      <c r="D401" s="784"/>
      <c r="E401" s="776"/>
      <c r="F401" s="781"/>
      <c r="G401" s="15" t="s">
        <v>24</v>
      </c>
      <c r="H401" s="16"/>
      <c r="I401" s="114"/>
      <c r="J401" s="18"/>
      <c r="K401" s="18"/>
      <c r="L401" s="18"/>
      <c r="M401" s="18"/>
      <c r="N401" s="18"/>
      <c r="O401" s="18"/>
      <c r="P401" s="18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779"/>
    </row>
    <row r="402" spans="1:40" ht="12.75">
      <c r="A402" s="774"/>
      <c r="B402" s="737"/>
      <c r="C402" s="782"/>
      <c r="D402" s="784"/>
      <c r="E402" s="776"/>
      <c r="F402" s="21" t="s">
        <v>22</v>
      </c>
      <c r="G402" s="15" t="s">
        <v>25</v>
      </c>
      <c r="H402" s="22">
        <f aca="true" t="shared" si="97" ref="H402:AM402">H396+H398+H400</f>
        <v>0</v>
      </c>
      <c r="I402" s="115">
        <f t="shared" si="97"/>
        <v>0</v>
      </c>
      <c r="J402" s="24">
        <f t="shared" si="97"/>
        <v>0</v>
      </c>
      <c r="K402" s="24">
        <f t="shared" si="97"/>
        <v>0</v>
      </c>
      <c r="L402" s="24">
        <f t="shared" si="97"/>
        <v>0</v>
      </c>
      <c r="M402" s="24">
        <f t="shared" si="97"/>
        <v>0</v>
      </c>
      <c r="N402" s="24">
        <f t="shared" si="97"/>
        <v>0</v>
      </c>
      <c r="O402" s="24">
        <f t="shared" si="97"/>
        <v>0</v>
      </c>
      <c r="P402" s="24">
        <f t="shared" si="97"/>
        <v>0</v>
      </c>
      <c r="Q402" s="24">
        <f t="shared" si="97"/>
        <v>0</v>
      </c>
      <c r="R402" s="24">
        <f t="shared" si="97"/>
        <v>0</v>
      </c>
      <c r="S402" s="24">
        <f t="shared" si="97"/>
        <v>0</v>
      </c>
      <c r="T402" s="24">
        <f t="shared" si="97"/>
        <v>0</v>
      </c>
      <c r="U402" s="24">
        <f t="shared" si="97"/>
        <v>0</v>
      </c>
      <c r="V402" s="24">
        <f t="shared" si="97"/>
        <v>0</v>
      </c>
      <c r="W402" s="24">
        <f t="shared" si="97"/>
        <v>0</v>
      </c>
      <c r="X402" s="24">
        <f t="shared" si="97"/>
        <v>0</v>
      </c>
      <c r="Y402" s="24">
        <f t="shared" si="97"/>
        <v>0</v>
      </c>
      <c r="Z402" s="24">
        <f t="shared" si="97"/>
        <v>0</v>
      </c>
      <c r="AA402" s="24">
        <f t="shared" si="97"/>
        <v>0</v>
      </c>
      <c r="AB402" s="24">
        <f t="shared" si="97"/>
        <v>0</v>
      </c>
      <c r="AC402" s="24">
        <f t="shared" si="97"/>
        <v>0</v>
      </c>
      <c r="AD402" s="24">
        <f t="shared" si="97"/>
        <v>0</v>
      </c>
      <c r="AE402" s="24">
        <f t="shared" si="97"/>
        <v>0</v>
      </c>
      <c r="AF402" s="24">
        <f t="shared" si="97"/>
        <v>0</v>
      </c>
      <c r="AG402" s="24">
        <f t="shared" si="97"/>
        <v>0</v>
      </c>
      <c r="AH402" s="24">
        <f t="shared" si="97"/>
        <v>0</v>
      </c>
      <c r="AI402" s="24">
        <f t="shared" si="97"/>
        <v>0</v>
      </c>
      <c r="AJ402" s="24">
        <f t="shared" si="97"/>
        <v>0</v>
      </c>
      <c r="AK402" s="24">
        <f t="shared" si="97"/>
        <v>0</v>
      </c>
      <c r="AL402" s="24">
        <f t="shared" si="97"/>
        <v>0</v>
      </c>
      <c r="AM402" s="24">
        <f t="shared" si="97"/>
        <v>0</v>
      </c>
      <c r="AN402" s="779"/>
    </row>
    <row r="403" spans="1:40" ht="13.5" thickBot="1">
      <c r="A403" s="806"/>
      <c r="B403" s="738"/>
      <c r="C403" s="805"/>
      <c r="D403" s="784"/>
      <c r="E403" s="777"/>
      <c r="F403" s="116">
        <f>F397+F400</f>
        <v>200000</v>
      </c>
      <c r="G403" s="36" t="s">
        <v>26</v>
      </c>
      <c r="H403" s="37">
        <f aca="true" t="shared" si="98" ref="H403:AM403">H397+H399+H401</f>
        <v>0</v>
      </c>
      <c r="I403" s="119">
        <f t="shared" si="98"/>
        <v>0</v>
      </c>
      <c r="J403" s="29">
        <f t="shared" si="98"/>
        <v>100000</v>
      </c>
      <c r="K403" s="29">
        <f t="shared" si="98"/>
        <v>100000</v>
      </c>
      <c r="L403" s="29">
        <f t="shared" si="98"/>
        <v>0</v>
      </c>
      <c r="M403" s="29">
        <f t="shared" si="98"/>
        <v>0</v>
      </c>
      <c r="N403" s="29">
        <f t="shared" si="98"/>
        <v>0</v>
      </c>
      <c r="O403" s="29">
        <f t="shared" si="98"/>
        <v>0</v>
      </c>
      <c r="P403" s="29">
        <f t="shared" si="98"/>
        <v>0</v>
      </c>
      <c r="Q403" s="29">
        <f t="shared" si="98"/>
        <v>0</v>
      </c>
      <c r="R403" s="29">
        <f t="shared" si="98"/>
        <v>0</v>
      </c>
      <c r="S403" s="29">
        <f t="shared" si="98"/>
        <v>0</v>
      </c>
      <c r="T403" s="29">
        <f t="shared" si="98"/>
        <v>0</v>
      </c>
      <c r="U403" s="29">
        <f t="shared" si="98"/>
        <v>0</v>
      </c>
      <c r="V403" s="29">
        <f t="shared" si="98"/>
        <v>0</v>
      </c>
      <c r="W403" s="29">
        <f t="shared" si="98"/>
        <v>0</v>
      </c>
      <c r="X403" s="29">
        <f t="shared" si="98"/>
        <v>0</v>
      </c>
      <c r="Y403" s="29">
        <f t="shared" si="98"/>
        <v>0</v>
      </c>
      <c r="Z403" s="29">
        <f t="shared" si="98"/>
        <v>0</v>
      </c>
      <c r="AA403" s="29">
        <f t="shared" si="98"/>
        <v>0</v>
      </c>
      <c r="AB403" s="29">
        <f t="shared" si="98"/>
        <v>0</v>
      </c>
      <c r="AC403" s="29">
        <f t="shared" si="98"/>
        <v>0</v>
      </c>
      <c r="AD403" s="29">
        <f t="shared" si="98"/>
        <v>0</v>
      </c>
      <c r="AE403" s="29">
        <f t="shared" si="98"/>
        <v>0</v>
      </c>
      <c r="AF403" s="29">
        <f t="shared" si="98"/>
        <v>0</v>
      </c>
      <c r="AG403" s="29">
        <f t="shared" si="98"/>
        <v>0</v>
      </c>
      <c r="AH403" s="29">
        <f t="shared" si="98"/>
        <v>0</v>
      </c>
      <c r="AI403" s="29">
        <f t="shared" si="98"/>
        <v>0</v>
      </c>
      <c r="AJ403" s="29">
        <f t="shared" si="98"/>
        <v>0</v>
      </c>
      <c r="AK403" s="29">
        <f t="shared" si="98"/>
        <v>0</v>
      </c>
      <c r="AL403" s="29">
        <f t="shared" si="98"/>
        <v>0</v>
      </c>
      <c r="AM403" s="29">
        <f t="shared" si="98"/>
        <v>0</v>
      </c>
      <c r="AN403" s="780"/>
    </row>
    <row r="404" spans="1:40" ht="12.75">
      <c r="A404" s="122"/>
      <c r="B404" s="123"/>
      <c r="C404" s="124"/>
      <c r="D404" s="125"/>
      <c r="E404" s="126"/>
      <c r="F404" s="127"/>
      <c r="G404" s="128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129"/>
      <c r="AE404" s="129"/>
      <c r="AF404" s="129"/>
      <c r="AG404" s="129"/>
      <c r="AH404" s="129"/>
      <c r="AI404" s="129"/>
      <c r="AJ404" s="129"/>
      <c r="AK404" s="129"/>
      <c r="AL404" s="129"/>
      <c r="AM404" s="129"/>
      <c r="AN404" s="130"/>
    </row>
    <row r="405" spans="1:40" ht="12.75" hidden="1">
      <c r="A405" s="131"/>
      <c r="B405" s="132"/>
      <c r="C405" s="133"/>
      <c r="D405" s="134"/>
      <c r="E405" s="135"/>
      <c r="F405" s="788"/>
      <c r="G405" s="128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129"/>
      <c r="AE405" s="129"/>
      <c r="AF405" s="129"/>
      <c r="AG405" s="129"/>
      <c r="AH405" s="129"/>
      <c r="AI405" s="129"/>
      <c r="AJ405" s="129"/>
      <c r="AK405" s="129"/>
      <c r="AL405" s="129"/>
      <c r="AM405" s="129"/>
      <c r="AN405" s="136"/>
    </row>
    <row r="406" spans="1:40" ht="12.75" hidden="1">
      <c r="A406" s="131"/>
      <c r="B406" s="132"/>
      <c r="C406" s="133"/>
      <c r="D406" s="134"/>
      <c r="E406" s="135"/>
      <c r="F406" s="789"/>
      <c r="G406" s="128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129"/>
      <c r="AE406" s="129"/>
      <c r="AF406" s="129"/>
      <c r="AG406" s="129"/>
      <c r="AH406" s="129"/>
      <c r="AI406" s="129"/>
      <c r="AJ406" s="129"/>
      <c r="AK406" s="129"/>
      <c r="AL406" s="129"/>
      <c r="AM406" s="129"/>
      <c r="AN406" s="136"/>
    </row>
    <row r="407" spans="1:40" ht="12.75" hidden="1">
      <c r="A407" s="131"/>
      <c r="B407" s="132"/>
      <c r="C407" s="133"/>
      <c r="D407" s="134"/>
      <c r="E407" s="135"/>
      <c r="F407" s="127"/>
      <c r="G407" s="128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129"/>
      <c r="AE407" s="129"/>
      <c r="AF407" s="129"/>
      <c r="AG407" s="129"/>
      <c r="AH407" s="129"/>
      <c r="AI407" s="129"/>
      <c r="AJ407" s="129"/>
      <c r="AK407" s="129"/>
      <c r="AL407" s="129"/>
      <c r="AM407" s="129"/>
      <c r="AN407" s="136"/>
    </row>
    <row r="408" spans="1:40" ht="12.75" hidden="1">
      <c r="A408" s="131"/>
      <c r="B408" s="132"/>
      <c r="C408" s="133"/>
      <c r="D408" s="134"/>
      <c r="E408" s="135"/>
      <c r="F408" s="788"/>
      <c r="G408" s="128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129"/>
      <c r="AE408" s="129"/>
      <c r="AF408" s="129"/>
      <c r="AG408" s="129"/>
      <c r="AH408" s="129"/>
      <c r="AI408" s="129"/>
      <c r="AJ408" s="129"/>
      <c r="AK408" s="129"/>
      <c r="AL408" s="129"/>
      <c r="AM408" s="129"/>
      <c r="AN408" s="136"/>
    </row>
    <row r="409" spans="1:40" ht="12.75" hidden="1">
      <c r="A409" s="131"/>
      <c r="B409" s="132"/>
      <c r="C409" s="133"/>
      <c r="D409" s="134"/>
      <c r="E409" s="135"/>
      <c r="F409" s="789"/>
      <c r="G409" s="128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129"/>
      <c r="AE409" s="129"/>
      <c r="AF409" s="129"/>
      <c r="AG409" s="129"/>
      <c r="AH409" s="129"/>
      <c r="AI409" s="129"/>
      <c r="AJ409" s="129"/>
      <c r="AK409" s="129"/>
      <c r="AL409" s="129"/>
      <c r="AM409" s="129"/>
      <c r="AN409" s="136"/>
    </row>
    <row r="410" spans="1:40" ht="13.5" hidden="1" thickBot="1">
      <c r="A410" s="131"/>
      <c r="B410" s="132"/>
      <c r="C410" s="133"/>
      <c r="D410" s="134"/>
      <c r="E410" s="135"/>
      <c r="F410" s="127"/>
      <c r="G410" s="128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6"/>
    </row>
    <row r="411" spans="1:40" ht="12.75" hidden="1">
      <c r="A411" s="795" t="s">
        <v>59</v>
      </c>
      <c r="B411" s="796"/>
      <c r="C411" s="796"/>
      <c r="D411" s="796"/>
      <c r="E411" s="797"/>
      <c r="F411" s="8" t="s">
        <v>14</v>
      </c>
      <c r="G411" s="138" t="s">
        <v>15</v>
      </c>
      <c r="H411" s="18">
        <f aca="true" t="shared" si="99" ref="H411:M412">H5+H13+H21+H29+H37+H45+H52+H60+H68+H76+H84+H92+H100+H108+H116+H124+H132+H140+H148+H156+H164+H172+H180+H188+H196+H204+H212+H220+H228+H236+H244+H252+H260+H268+H276+H284+H292+H300+H308+H316+H324+H332+H340+H348+H356+H364+H372+H380+H388+H396</f>
        <v>0</v>
      </c>
      <c r="I411" s="18">
        <f t="shared" si="99"/>
        <v>5929</v>
      </c>
      <c r="J411" s="18">
        <f t="shared" si="99"/>
        <v>5929</v>
      </c>
      <c r="K411" s="18">
        <f t="shared" si="99"/>
        <v>5929</v>
      </c>
      <c r="L411" s="18">
        <f t="shared" si="99"/>
        <v>5929</v>
      </c>
      <c r="M411" s="18">
        <f t="shared" si="99"/>
        <v>5929</v>
      </c>
      <c r="N411" s="34">
        <f aca="true" t="shared" si="100" ref="N411:AM411">N5+N13+N21+N29+N37+N45+N52+N60+N68+N76+N84+N92+N100+N108+N116+N124+N132+N140+N148+N156+N164+N172+N180+N188+N196+N204+N212+N220+N228+N236+N244+N252+N260+N268+N276+N284+N292+N300+N308+N324+N332+N340+N348+N356+N364+N372+N380+N388+N396</f>
        <v>0</v>
      </c>
      <c r="O411" s="34">
        <f t="shared" si="100"/>
        <v>0</v>
      </c>
      <c r="P411" s="34">
        <f t="shared" si="100"/>
        <v>0</v>
      </c>
      <c r="Q411" s="34">
        <f t="shared" si="100"/>
        <v>0</v>
      </c>
      <c r="R411" s="34">
        <f t="shared" si="100"/>
        <v>0</v>
      </c>
      <c r="S411" s="34">
        <f t="shared" si="100"/>
        <v>0</v>
      </c>
      <c r="T411" s="34">
        <f t="shared" si="100"/>
        <v>0</v>
      </c>
      <c r="U411" s="34">
        <f t="shared" si="100"/>
        <v>0</v>
      </c>
      <c r="V411" s="34">
        <f t="shared" si="100"/>
        <v>0</v>
      </c>
      <c r="W411" s="34">
        <f t="shared" si="100"/>
        <v>0</v>
      </c>
      <c r="X411" s="34">
        <f t="shared" si="100"/>
        <v>0</v>
      </c>
      <c r="Y411" s="34">
        <f t="shared" si="100"/>
        <v>0</v>
      </c>
      <c r="Z411" s="34">
        <f t="shared" si="100"/>
        <v>0</v>
      </c>
      <c r="AA411" s="34">
        <f t="shared" si="100"/>
        <v>0</v>
      </c>
      <c r="AB411" s="34">
        <f t="shared" si="100"/>
        <v>0</v>
      </c>
      <c r="AC411" s="34">
        <f t="shared" si="100"/>
        <v>0</v>
      </c>
      <c r="AD411" s="34">
        <f t="shared" si="100"/>
        <v>0</v>
      </c>
      <c r="AE411" s="34">
        <f t="shared" si="100"/>
        <v>0</v>
      </c>
      <c r="AF411" s="34">
        <f t="shared" si="100"/>
        <v>0</v>
      </c>
      <c r="AG411" s="34">
        <f t="shared" si="100"/>
        <v>0</v>
      </c>
      <c r="AH411" s="34">
        <f t="shared" si="100"/>
        <v>0</v>
      </c>
      <c r="AI411" s="34">
        <f t="shared" si="100"/>
        <v>0</v>
      </c>
      <c r="AJ411" s="34">
        <f t="shared" si="100"/>
        <v>0</v>
      </c>
      <c r="AK411" s="34">
        <f t="shared" si="100"/>
        <v>0</v>
      </c>
      <c r="AL411" s="34">
        <f t="shared" si="100"/>
        <v>0</v>
      </c>
      <c r="AM411" s="139">
        <f t="shared" si="100"/>
        <v>0</v>
      </c>
      <c r="AN411" s="803">
        <f>SUM(AN5:AN403)</f>
        <v>314307162</v>
      </c>
    </row>
    <row r="412" spans="1:40" ht="12.75" hidden="1">
      <c r="A412" s="798"/>
      <c r="B412" s="790"/>
      <c r="C412" s="790"/>
      <c r="D412" s="790"/>
      <c r="E412" s="799"/>
      <c r="F412" s="746">
        <f>SUM(H417:N417)</f>
        <v>29645</v>
      </c>
      <c r="G412" s="140" t="s">
        <v>16</v>
      </c>
      <c r="H412" s="18">
        <f t="shared" si="99"/>
        <v>77410114</v>
      </c>
      <c r="I412" s="18">
        <f t="shared" si="99"/>
        <v>152155338</v>
      </c>
      <c r="J412" s="18">
        <f t="shared" si="99"/>
        <v>109396171</v>
      </c>
      <c r="K412" s="18">
        <f t="shared" si="99"/>
        <v>110966277</v>
      </c>
      <c r="L412" s="18">
        <f t="shared" si="99"/>
        <v>74444714</v>
      </c>
      <c r="M412" s="18">
        <f t="shared" si="99"/>
        <v>19500000</v>
      </c>
      <c r="N412" s="18">
        <f aca="true" t="shared" si="101" ref="N412:AM412">N6+N14+N22+N30+N38+N46+N53+N61+N69+N77+N85+N93+N101+N109+N117+N125+N133+N141+N149+N157+N165+N173+N181+N189+N197+N205+N213+N221+N229+N237+N245+N253+N261+N269+N277+N285+N293+N301+N309+N325+N333+N341+N349+N357+N365+N373+N381+N389+N397</f>
        <v>0</v>
      </c>
      <c r="O412" s="18">
        <f t="shared" si="101"/>
        <v>0</v>
      </c>
      <c r="P412" s="18">
        <f t="shared" si="101"/>
        <v>0</v>
      </c>
      <c r="Q412" s="18">
        <f t="shared" si="101"/>
        <v>0</v>
      </c>
      <c r="R412" s="18">
        <f t="shared" si="101"/>
        <v>0</v>
      </c>
      <c r="S412" s="18">
        <f t="shared" si="101"/>
        <v>0</v>
      </c>
      <c r="T412" s="18">
        <f t="shared" si="101"/>
        <v>0</v>
      </c>
      <c r="U412" s="18">
        <f t="shared" si="101"/>
        <v>0</v>
      </c>
      <c r="V412" s="18">
        <f t="shared" si="101"/>
        <v>0</v>
      </c>
      <c r="W412" s="18">
        <f t="shared" si="101"/>
        <v>0</v>
      </c>
      <c r="X412" s="18">
        <f t="shared" si="101"/>
        <v>0</v>
      </c>
      <c r="Y412" s="18">
        <f t="shared" si="101"/>
        <v>0</v>
      </c>
      <c r="Z412" s="18">
        <f t="shared" si="101"/>
        <v>0</v>
      </c>
      <c r="AA412" s="18">
        <f t="shared" si="101"/>
        <v>0</v>
      </c>
      <c r="AB412" s="18">
        <f t="shared" si="101"/>
        <v>0</v>
      </c>
      <c r="AC412" s="18">
        <f t="shared" si="101"/>
        <v>0</v>
      </c>
      <c r="AD412" s="18">
        <f t="shared" si="101"/>
        <v>0</v>
      </c>
      <c r="AE412" s="18">
        <f t="shared" si="101"/>
        <v>0</v>
      </c>
      <c r="AF412" s="18">
        <f t="shared" si="101"/>
        <v>0</v>
      </c>
      <c r="AG412" s="18">
        <f t="shared" si="101"/>
        <v>0</v>
      </c>
      <c r="AH412" s="18">
        <f t="shared" si="101"/>
        <v>0</v>
      </c>
      <c r="AI412" s="18">
        <f t="shared" si="101"/>
        <v>0</v>
      </c>
      <c r="AJ412" s="18">
        <f t="shared" si="101"/>
        <v>0</v>
      </c>
      <c r="AK412" s="18">
        <f t="shared" si="101"/>
        <v>0</v>
      </c>
      <c r="AL412" s="18">
        <f t="shared" si="101"/>
        <v>0</v>
      </c>
      <c r="AM412" s="141">
        <f t="shared" si="101"/>
        <v>0</v>
      </c>
      <c r="AN412" s="779"/>
    </row>
    <row r="413" spans="1:40" ht="12.75" hidden="1">
      <c r="A413" s="798"/>
      <c r="B413" s="790"/>
      <c r="C413" s="790"/>
      <c r="D413" s="790"/>
      <c r="E413" s="799"/>
      <c r="F413" s="781"/>
      <c r="G413" s="140" t="s">
        <v>17</v>
      </c>
      <c r="H413" s="18">
        <f aca="true" t="shared" si="102" ref="H413:N413">H7+H15+H23+H31+H39+H54+H62+H70+H78+H86+H94+H102+H110+H118+H126+H134+H142+H150+H158+H166+H174+H182+H190+H198+H206+H214+H222+H230+H238+H246+H254+H262+H270+H278+H286+H294+H302+H310+H318+H326+H334+H342+H350+H358+H366+H374+H382+H390+H398</f>
        <v>0</v>
      </c>
      <c r="I413" s="18">
        <f t="shared" si="102"/>
        <v>0</v>
      </c>
      <c r="J413" s="18">
        <f t="shared" si="102"/>
        <v>0</v>
      </c>
      <c r="K413" s="18">
        <f t="shared" si="102"/>
        <v>0</v>
      </c>
      <c r="L413" s="18">
        <f t="shared" si="102"/>
        <v>0</v>
      </c>
      <c r="M413" s="18">
        <f t="shared" si="102"/>
        <v>0</v>
      </c>
      <c r="N413" s="18">
        <f t="shared" si="102"/>
        <v>0</v>
      </c>
      <c r="O413" s="18" t="e">
        <f>O7+O15+O23+O31+O39+#REF!+O54+O62+O70+O78+O86+O94+O102+O110+O118+O126+O134+O142+O150+O158+O166+O174+O182+O190+O198+O206+O214+O222+O230+O238+O246+O254+O262+O270+O278+O286+O294+O302+O310+O326+O334+O342+O350+O358+O366+O374+O382+O390+O398</f>
        <v>#REF!</v>
      </c>
      <c r="P413" s="18" t="e">
        <f>P7+P15+P23+P31+P39+#REF!+P54+P62+P70+P78+P86+P94+P102+P110+P118+P126+P134+P142+P150+P158+P166+P174+P182+P190+P198+P206+P214+P222+P230+P238+P246+P254+P262+P270+P278+P286+P294+P302+P310+P326+P334+P342+P350+P358+P366+P374+P382+P390+P398</f>
        <v>#REF!</v>
      </c>
      <c r="Q413" s="18" t="e">
        <f>Q7+Q15+Q23+Q31+Q39+#REF!+Q54+Q62+Q70+Q78+Q86+Q94+Q102+Q110+Q118+Q126+Q134+Q142+Q150+Q158+Q166+Q174+Q182+Q190+Q198+Q206+Q214+Q222+Q230+Q238+Q246+Q254+Q262+Q270+Q278+Q286+Q294+Q302+Q310+Q326+Q334+Q342+Q350+Q358+Q366+Q374+Q382+Q390+Q398</f>
        <v>#REF!</v>
      </c>
      <c r="R413" s="18" t="e">
        <f>R7+R15+R23+R31+R39+#REF!+R54+R62+R70+R78+R86+R94+R102+R110+R118+R126+R134+R142+R150+R158+R166+R174+R182+R190+R198+R206+R214+R222+R230+R238+R246+R254+R262+R270+R278+R286+R294+R302+R310+R326+R334+R342+R350+R358+R366+R374+R382+R390+R398</f>
        <v>#REF!</v>
      </c>
      <c r="S413" s="18" t="e">
        <f>S7+S15+S23+S31+S39+#REF!+S54+S62+S70+S78+S86+S94+S102+S110+S118+S126+S134+S142+S150+S158+S166+S174+S182+S190+S198+S206+S214+S222+S230+S238+S246+S254+S262+S270+S278+S286+S294+S302+S310+S326+S334+S342+S350+S358+S366+S374+S382+S390+S398</f>
        <v>#REF!</v>
      </c>
      <c r="T413" s="18" t="e">
        <f>T7+T15+T23+T31+T39+#REF!+T54+T62+T70+T78+T86+T94+T102+T110+T118+T126+T134+T142+T150+T158+T166+T174+T182+T190+T198+T206+T214+T222+T230+T238+T246+T254+T262+T270+T278+T286+T294+T302+T310+T326+T334+T342+T350+T358+T366+T374+T382+T390+T398</f>
        <v>#REF!</v>
      </c>
      <c r="U413" s="18" t="e">
        <f>U7+U15+U23+U31+U39+#REF!+U54+U62+U70+U78+U86+U94+U102+U110+U118+U126+U134+U142+U150+U158+U166+U174+U182+U190+U198+U206+U214+U222+U230+U238+U246+U254+U262+U270+U278+U286+U294+U302+U310+U326+U334+U342+U350+U358+U366+U374+U382+U390+U398</f>
        <v>#REF!</v>
      </c>
      <c r="V413" s="18" t="e">
        <f>V7+V15+V23+V31+V39+#REF!+V54+V62+V70+V78+V86+V94+V102+V110+V118+V126+V134+V142+V150+V158+V166+V174+V182+V190+V198+V206+V214+V222+V230+V238+V246+V254+V262+V270+V278+V286+V294+V302+V310+V326+V334+V342+V350+V358+V366+V374+V382+V390+V398</f>
        <v>#REF!</v>
      </c>
      <c r="W413" s="18" t="e">
        <f>W7+W15+W23+W31+W39+#REF!+W54+W62+W70+W78+W86+W94+W102+W110+W118+W126+W134+W142+W150+W158+W166+W174+W182+W190+W198+W206+W214+W222+W230+W238+W246+W254+W262+W270+W278+W286+W294+W302+W310+W326+W334+W342+W350+W358+W366+W374+W382+W390+W398</f>
        <v>#REF!</v>
      </c>
      <c r="X413" s="18" t="e">
        <f>X7+X15+X23+X31+X39+#REF!+X54+X62+X70+X78+X86+X94+X102+X110+X118+X126+X134+X142+X150+X158+X166+X174+X182+X190+X198+X206+X214+X222+X230+X238+X246+X254+X262+X270+X278+X286+X294+X302+X310+X326+X334+X342+X350+X358+X366+X374+X382+X390+X398</f>
        <v>#REF!</v>
      </c>
      <c r="Y413" s="18" t="e">
        <f>Y7+Y15+Y23+Y31+Y39+#REF!+Y54+Y62+Y70+Y78+Y86+Y94+Y102+Y110+Y118+Y126+Y134+Y142+Y150+Y158+Y166+Y174+Y182+Y190+Y198+Y206+Y214+Y222+Y230+Y238+Y246+Y254+Y262+Y270+Y278+Y286+Y294+Y302+Y310+Y326+Y334+Y342+Y350+Y358+Y366+Y374+Y382+Y390+Y398</f>
        <v>#REF!</v>
      </c>
      <c r="Z413" s="18" t="e">
        <f>Z7+Z15+Z23+Z31+Z39+#REF!+Z54+Z62+Z70+Z78+Z86+Z94+Z102+Z110+Z118+Z126+Z134+Z142+Z150+Z158+Z166+Z174+Z182+Z190+Z198+Z206+Z214+Z222+Z230+Z238+Z246+Z254+Z262+Z270+Z278+Z286+Z294+Z302+Z310+Z326+Z334+Z342+Z350+Z358+Z366+Z374+Z382+Z390+Z398</f>
        <v>#REF!</v>
      </c>
      <c r="AA413" s="18" t="e">
        <f>AA7+AA15+AA23+AA31+AA39+#REF!+AA54+AA62+AA70+AA78+AA86+AA94+AA102+AA110+AA118+AA126+AA134+AA142+AA150+AA158+AA166+AA174+AA182+AA190+AA198+AA206+AA214+AA222+AA230+AA238+AA246+AA254+AA262+AA270+AA278+AA286+AA294+AA302+AA310+AA326+AA334+AA342+AA350+AA358+AA366+AA374+AA382+AA390+AA398</f>
        <v>#REF!</v>
      </c>
      <c r="AB413" s="18" t="e">
        <f>AB7+AB15+AB23+AB31+AB39+#REF!+AB54+AB62+AB70+AB78+AB86+AB94+AB102+AB110+AB118+AB126+AB134+AB142+AB150+AB158+AB166+AB174+AB182+AB190+AB198+AB206+AB214+AB222+AB230+AB238+AB246+AB254+AB262+AB270+AB278+AB286+AB294+AB302+AB310+AB326+AB334+AB342+AB350+AB358+AB366+AB374+AB382+AB390+AB398</f>
        <v>#REF!</v>
      </c>
      <c r="AC413" s="18" t="e">
        <f>AC7+AC15+AC23+AC31+AC39+#REF!+AC54+AC62+AC70+AC78+AC86+AC94+AC102+AC110+AC118+AC126+AC134+AC142+AC150+AC158+AC166+AC174+AC182+AC190+AC198+AC206+AC214+AC222+AC230+AC238+AC246+AC254+AC262+AC270+AC278+AC286+AC294+AC302+AC310+AC326+AC334+AC342+AC350+AC358+AC366+AC374+AC382+AC390+AC398</f>
        <v>#REF!</v>
      </c>
      <c r="AD413" s="18" t="e">
        <f>AD7+AD15+AD23+AD31+AD39+#REF!+AD54+AD62+AD70+AD78+AD86+AD94+AD102+AD110+AD118+AD126+AD134+AD142+AD150+AD158+AD166+AD174+AD182+AD190+AD198+AD206+AD214+AD222+AD230+AD238+AD246+AD254+AD262+AD270+AD278+AD286+AD294+AD302+AD310+AD326+AD334+AD342+AD350+AD358+AD366+AD374+AD382+AD390+AD398</f>
        <v>#REF!</v>
      </c>
      <c r="AE413" s="18" t="e">
        <f>AE7+AE15+AE23+AE31+AE39+#REF!+AE54+AE62+AE70+AE78+AE86+AE94+AE102+AE110+AE118+AE126+AE134+AE142+AE150+AE158+AE166+AE174+AE182+AE190+AE198+AE206+AE214+AE222+AE230+AE238+AE246+AE254+AE262+AE270+AE278+AE286+AE294+AE302+AE310+AE326+AE334+AE342+AE350+AE358+AE366+AE374+AE382+AE390+AE398</f>
        <v>#REF!</v>
      </c>
      <c r="AF413" s="18" t="e">
        <f>AF7+AF15+AF23+AF31+AF39+#REF!+AF54+AF62+AF70+AF78+AF86+AF94+AF102+AF110+AF118+AF126+AF134+AF142+AF150+AF158+AF166+AF174+AF182+AF190+AF198+AF206+AF214+AF222+AF230+AF238+AF246+AF254+AF262+AF270+AF278+AF286+AF294+AF302+AF310+AF326+AF334+AF342+AF350+AF358+AF366+AF374+AF382+AF390+AF398</f>
        <v>#REF!</v>
      </c>
      <c r="AG413" s="18" t="e">
        <f>AG7+AG15+AG23+AG31+AG39+#REF!+AG54+AG62+AG70+AG78+AG86+AG94+AG102+AG110+AG118+AG126+AG134+AG142+AG150+AG158+AG166+AG174+AG182+AG190+AG198+AG206+AG214+AG222+AG230+AG238+AG246+AG254+AG262+AG270+AG278+AG286+AG294+AG302+AG310+AG326+AG334+AG342+AG350+AG358+AG366+AG374+AG382+AG390+AG398</f>
        <v>#REF!</v>
      </c>
      <c r="AH413" s="18" t="e">
        <f>AH7+AH15+AH23+AH31+AH39+#REF!+AH54+AH62+AH70+AH78+AH86+AH94+AH102+AH110+AH118+AH126+AH134+AH142+AH150+AH158+AH166+AH174+AH182+AH190+AH198+AH206+AH214+AH222+AH230+AH238+AH246+AH254+AH262+AH270+AH278+AH286+AH294+AH302+AH310+AH326+AH334+AH342+AH350+AH358+AH366+AH374+AH382+AH390+AH398</f>
        <v>#REF!</v>
      </c>
      <c r="AI413" s="18" t="e">
        <f>AI7+AI15+AI23+AI31+AI39+#REF!+AI54+AI62+AI70+AI78+AI86+AI94+AI102+AI110+AI118+AI126+AI134+AI142+AI150+AI158+AI166+AI174+AI182+AI190+AI198+AI206+AI214+AI222+AI230+AI238+AI246+AI254+AI262+AI270+AI278+AI286+AI294+AI302+AI310+AI326+AI334+AI342+AI350+AI358+AI366+AI374+AI382+AI390+AI398</f>
        <v>#REF!</v>
      </c>
      <c r="AJ413" s="18" t="e">
        <f>AJ7+AJ15+AJ23+AJ31+AJ39+#REF!+AJ54+AJ62+AJ70+AJ78+AJ86+AJ94+AJ102+AJ110+AJ118+AJ126+AJ134+AJ142+AJ150+AJ158+AJ166+AJ174+AJ182+AJ190+AJ198+AJ206+AJ214+AJ222+AJ230+AJ238+AJ246+AJ254+AJ262+AJ270+AJ278+AJ286+AJ294+AJ302+AJ310+AJ326+AJ334+AJ342+AJ350+AJ358+AJ366+AJ374+AJ382+AJ390+AJ398</f>
        <v>#REF!</v>
      </c>
      <c r="AK413" s="18" t="e">
        <f>AK7+AK15+AK23+AK31+AK39+#REF!+AK54+AK62+AK70+AK78+AK86+AK94+AK102+AK110+AK118+AK126+AK134+AK142+AK150+AK158+AK166+AK174+AK182+AK190+AK198+AK206+AK214+AK222+AK230+AK238+AK246+AK254+AK262+AK270+AK278+AK286+AK294+AK302+AK310+AK326+AK334+AK342+AK350+AK358+AK366+AK374+AK382+AK390+AK398</f>
        <v>#REF!</v>
      </c>
      <c r="AL413" s="18" t="e">
        <f>AL7+AL15+AL23+AL31+AL39+#REF!+AL54+AL62+AL70+AL78+AL86+AL94+AL102+AL110+AL118+AL126+AL134+AL142+AL150+AL158+AL166+AL174+AL182+AL190+AL198+AL206+AL214+AL222+AL230+AL238+AL246+AL254+AL262+AL270+AL278+AL286+AL294+AL302+AL310+AL326+AL334+AL342+AL350+AL358+AL366+AL374+AL382+AL390+AL398</f>
        <v>#REF!</v>
      </c>
      <c r="AM413" s="141" t="e">
        <f>AM7+AM15+AM23+AM31+AM39+#REF!+AM54+AM62+AM70+AM78+AM86+AM94+AM102+AM110+AM118+AM126+AM134+AM142+AM150+AM158+AM166+AM174+AM182+AM190+AM198+AM206+AM214+AM222+AM230+AM238+AM246+AM254+AM262+AM270+AM278+AM286+AM294+AM302+AM310+AM326+AM334+AM342+AM350+AM358+AM366+AM374+AM382+AM390+AM398</f>
        <v>#REF!</v>
      </c>
      <c r="AN413" s="779"/>
    </row>
    <row r="414" spans="1:40" ht="12.75" hidden="1">
      <c r="A414" s="798"/>
      <c r="B414" s="790"/>
      <c r="C414" s="790"/>
      <c r="D414" s="790"/>
      <c r="E414" s="799"/>
      <c r="F414" s="21" t="s">
        <v>18</v>
      </c>
      <c r="G414" s="140" t="s">
        <v>19</v>
      </c>
      <c r="H414" s="18">
        <f aca="true" t="shared" si="103" ref="H414:M418">H8+H16+H24+H32+H40+H47+H55+H63+H71+H79+H87+H95+H103+H111+H119+H127+H135+H143+H151+H159+H167+H175+H183+H191+H199+H207+H215+H223+H231+H239+H247+H255+H263+H271+H279+H287+H295+H303+H311+H319+H327+H335+H343+H351+H359+H367+H375+H383+H391+H399</f>
        <v>0</v>
      </c>
      <c r="I414" s="18">
        <f t="shared" si="103"/>
        <v>0</v>
      </c>
      <c r="J414" s="18">
        <f t="shared" si="103"/>
        <v>0</v>
      </c>
      <c r="K414" s="18">
        <f t="shared" si="103"/>
        <v>0</v>
      </c>
      <c r="L414" s="18">
        <f t="shared" si="103"/>
        <v>0</v>
      </c>
      <c r="M414" s="18">
        <f t="shared" si="103"/>
        <v>0</v>
      </c>
      <c r="N414" s="18">
        <f aca="true" t="shared" si="104" ref="N414:AM414">N8+N16+N24+N32+N40+N47+N55+N63+N71+N79+N87+N95+N103+N111+N119+N127+N135+N143+N151+N159+N167+N175+N183+N191+N199+N207+N215+N223+N231+N239+N247+N255+N263+N271+N279+N287+N295+N303+N311+N327+N335+N343+N351+N359+N367+N375+N383+N391+N399</f>
        <v>0</v>
      </c>
      <c r="O414" s="18">
        <f t="shared" si="104"/>
        <v>0</v>
      </c>
      <c r="P414" s="18">
        <f t="shared" si="104"/>
        <v>0</v>
      </c>
      <c r="Q414" s="18">
        <f t="shared" si="104"/>
        <v>0</v>
      </c>
      <c r="R414" s="18">
        <f t="shared" si="104"/>
        <v>0</v>
      </c>
      <c r="S414" s="18">
        <f t="shared" si="104"/>
        <v>0</v>
      </c>
      <c r="T414" s="18">
        <f t="shared" si="104"/>
        <v>0</v>
      </c>
      <c r="U414" s="18">
        <f t="shared" si="104"/>
        <v>0</v>
      </c>
      <c r="V414" s="18">
        <f t="shared" si="104"/>
        <v>0</v>
      </c>
      <c r="W414" s="18">
        <f t="shared" si="104"/>
        <v>0</v>
      </c>
      <c r="X414" s="18">
        <f t="shared" si="104"/>
        <v>0</v>
      </c>
      <c r="Y414" s="18">
        <f t="shared" si="104"/>
        <v>0</v>
      </c>
      <c r="Z414" s="18">
        <f t="shared" si="104"/>
        <v>0</v>
      </c>
      <c r="AA414" s="18">
        <f t="shared" si="104"/>
        <v>0</v>
      </c>
      <c r="AB414" s="18">
        <f t="shared" si="104"/>
        <v>0</v>
      </c>
      <c r="AC414" s="18">
        <f t="shared" si="104"/>
        <v>0</v>
      </c>
      <c r="AD414" s="18">
        <f t="shared" si="104"/>
        <v>0</v>
      </c>
      <c r="AE414" s="18">
        <f t="shared" si="104"/>
        <v>0</v>
      </c>
      <c r="AF414" s="18">
        <f t="shared" si="104"/>
        <v>0</v>
      </c>
      <c r="AG414" s="18">
        <f t="shared" si="104"/>
        <v>0</v>
      </c>
      <c r="AH414" s="18">
        <f t="shared" si="104"/>
        <v>0</v>
      </c>
      <c r="AI414" s="18">
        <f t="shared" si="104"/>
        <v>0</v>
      </c>
      <c r="AJ414" s="18">
        <f t="shared" si="104"/>
        <v>0</v>
      </c>
      <c r="AK414" s="18">
        <f t="shared" si="104"/>
        <v>0</v>
      </c>
      <c r="AL414" s="18">
        <f t="shared" si="104"/>
        <v>0</v>
      </c>
      <c r="AM414" s="141">
        <f t="shared" si="104"/>
        <v>0</v>
      </c>
      <c r="AN414" s="779"/>
    </row>
    <row r="415" spans="1:40" ht="12.75" hidden="1">
      <c r="A415" s="798"/>
      <c r="B415" s="790"/>
      <c r="C415" s="790"/>
      <c r="D415" s="790"/>
      <c r="E415" s="799"/>
      <c r="F415" s="746">
        <f>SUM(H418:AM418)</f>
        <v>543872614</v>
      </c>
      <c r="G415" s="140" t="s">
        <v>23</v>
      </c>
      <c r="H415" s="18">
        <f t="shared" si="103"/>
        <v>0</v>
      </c>
      <c r="I415" s="18">
        <f t="shared" si="103"/>
        <v>0</v>
      </c>
      <c r="J415" s="18">
        <f t="shared" si="103"/>
        <v>0</v>
      </c>
      <c r="K415" s="18">
        <f t="shared" si="103"/>
        <v>0</v>
      </c>
      <c r="L415" s="18">
        <f t="shared" si="103"/>
        <v>0</v>
      </c>
      <c r="M415" s="18">
        <f t="shared" si="103"/>
        <v>0</v>
      </c>
      <c r="N415" s="18">
        <f aca="true" t="shared" si="105" ref="N415:AM415">N9+N17+N25+N33+N41+N48+N56+N64+N72+N80+N88+N96+N104+N112+N120+N128+N136+N144+N152+N160+N168+N176+N184+N192+N200+N208+N216+N224+N232+N240+N248+N256+N264+N272+N280+N288+N296+N304+N312+N328+N336+N344+N352+N360+N368+N376+N384+N392+N400</f>
        <v>0</v>
      </c>
      <c r="O415" s="18">
        <f t="shared" si="105"/>
        <v>0</v>
      </c>
      <c r="P415" s="18">
        <f t="shared" si="105"/>
        <v>0</v>
      </c>
      <c r="Q415" s="18">
        <f t="shared" si="105"/>
        <v>0</v>
      </c>
      <c r="R415" s="18">
        <f t="shared" si="105"/>
        <v>0</v>
      </c>
      <c r="S415" s="18">
        <f t="shared" si="105"/>
        <v>0</v>
      </c>
      <c r="T415" s="18">
        <f t="shared" si="105"/>
        <v>0</v>
      </c>
      <c r="U415" s="18">
        <f t="shared" si="105"/>
        <v>0</v>
      </c>
      <c r="V415" s="18">
        <f t="shared" si="105"/>
        <v>0</v>
      </c>
      <c r="W415" s="18">
        <f t="shared" si="105"/>
        <v>0</v>
      </c>
      <c r="X415" s="18">
        <f t="shared" si="105"/>
        <v>0</v>
      </c>
      <c r="Y415" s="18">
        <f t="shared" si="105"/>
        <v>0</v>
      </c>
      <c r="Z415" s="18">
        <f t="shared" si="105"/>
        <v>0</v>
      </c>
      <c r="AA415" s="18">
        <f t="shared" si="105"/>
        <v>0</v>
      </c>
      <c r="AB415" s="18">
        <f t="shared" si="105"/>
        <v>0</v>
      </c>
      <c r="AC415" s="18">
        <f t="shared" si="105"/>
        <v>0</v>
      </c>
      <c r="AD415" s="18">
        <f t="shared" si="105"/>
        <v>0</v>
      </c>
      <c r="AE415" s="18">
        <f t="shared" si="105"/>
        <v>0</v>
      </c>
      <c r="AF415" s="18">
        <f t="shared" si="105"/>
        <v>0</v>
      </c>
      <c r="AG415" s="18">
        <f t="shared" si="105"/>
        <v>0</v>
      </c>
      <c r="AH415" s="18">
        <f t="shared" si="105"/>
        <v>0</v>
      </c>
      <c r="AI415" s="18">
        <f t="shared" si="105"/>
        <v>0</v>
      </c>
      <c r="AJ415" s="18">
        <f t="shared" si="105"/>
        <v>0</v>
      </c>
      <c r="AK415" s="18">
        <f t="shared" si="105"/>
        <v>0</v>
      </c>
      <c r="AL415" s="18">
        <f t="shared" si="105"/>
        <v>0</v>
      </c>
      <c r="AM415" s="141">
        <f t="shared" si="105"/>
        <v>0</v>
      </c>
      <c r="AN415" s="779"/>
    </row>
    <row r="416" spans="1:40" ht="12.75" hidden="1">
      <c r="A416" s="798"/>
      <c r="B416" s="790"/>
      <c r="C416" s="790"/>
      <c r="D416" s="790"/>
      <c r="E416" s="799"/>
      <c r="F416" s="781"/>
      <c r="G416" s="140" t="s">
        <v>24</v>
      </c>
      <c r="H416" s="18">
        <f t="shared" si="103"/>
        <v>0</v>
      </c>
      <c r="I416" s="18">
        <f t="shared" si="103"/>
        <v>0</v>
      </c>
      <c r="J416" s="18">
        <f t="shared" si="103"/>
        <v>0</v>
      </c>
      <c r="K416" s="18">
        <f t="shared" si="103"/>
        <v>0</v>
      </c>
      <c r="L416" s="18">
        <f t="shared" si="103"/>
        <v>0</v>
      </c>
      <c r="M416" s="18">
        <f t="shared" si="103"/>
        <v>0</v>
      </c>
      <c r="N416" s="18">
        <f aca="true" t="shared" si="106" ref="N416:AM416">N10+N18+N26+N34+N42+N49+N57+N65+N73+N81+N89+N97+N105+N113+N121+N129+N137+N145+N153+N161+N169+N177+N185+N193+N201+N209+N217+N225+N233+N241+N249+N257+N265+N273+N281+N289+N297+N305+N313+N329+N337+N345+N353+N361+N369+N377+N385+N393+N401</f>
        <v>0</v>
      </c>
      <c r="O416" s="18">
        <f t="shared" si="106"/>
        <v>0</v>
      </c>
      <c r="P416" s="18">
        <f t="shared" si="106"/>
        <v>0</v>
      </c>
      <c r="Q416" s="18">
        <f t="shared" si="106"/>
        <v>0</v>
      </c>
      <c r="R416" s="18">
        <f t="shared" si="106"/>
        <v>0</v>
      </c>
      <c r="S416" s="18">
        <f t="shared" si="106"/>
        <v>0</v>
      </c>
      <c r="T416" s="18">
        <f t="shared" si="106"/>
        <v>0</v>
      </c>
      <c r="U416" s="18">
        <f t="shared" si="106"/>
        <v>0</v>
      </c>
      <c r="V416" s="18">
        <f t="shared" si="106"/>
        <v>0</v>
      </c>
      <c r="W416" s="18">
        <f t="shared" si="106"/>
        <v>0</v>
      </c>
      <c r="X416" s="18">
        <f t="shared" si="106"/>
        <v>0</v>
      </c>
      <c r="Y416" s="18">
        <f t="shared" si="106"/>
        <v>0</v>
      </c>
      <c r="Z416" s="18">
        <f t="shared" si="106"/>
        <v>0</v>
      </c>
      <c r="AA416" s="18">
        <f t="shared" si="106"/>
        <v>0</v>
      </c>
      <c r="AB416" s="18">
        <f t="shared" si="106"/>
        <v>0</v>
      </c>
      <c r="AC416" s="18">
        <f t="shared" si="106"/>
        <v>0</v>
      </c>
      <c r="AD416" s="18">
        <f t="shared" si="106"/>
        <v>0</v>
      </c>
      <c r="AE416" s="18">
        <f t="shared" si="106"/>
        <v>0</v>
      </c>
      <c r="AF416" s="18">
        <f t="shared" si="106"/>
        <v>0</v>
      </c>
      <c r="AG416" s="18">
        <f t="shared" si="106"/>
        <v>0</v>
      </c>
      <c r="AH416" s="18">
        <f t="shared" si="106"/>
        <v>0</v>
      </c>
      <c r="AI416" s="18">
        <f t="shared" si="106"/>
        <v>0</v>
      </c>
      <c r="AJ416" s="18">
        <f t="shared" si="106"/>
        <v>0</v>
      </c>
      <c r="AK416" s="18">
        <f t="shared" si="106"/>
        <v>0</v>
      </c>
      <c r="AL416" s="18">
        <f t="shared" si="106"/>
        <v>0</v>
      </c>
      <c r="AM416" s="141">
        <f t="shared" si="106"/>
        <v>0</v>
      </c>
      <c r="AN416" s="779"/>
    </row>
    <row r="417" spans="1:40" ht="12.75" hidden="1">
      <c r="A417" s="798"/>
      <c r="B417" s="790"/>
      <c r="C417" s="790"/>
      <c r="D417" s="790"/>
      <c r="E417" s="799"/>
      <c r="F417" s="21" t="s">
        <v>22</v>
      </c>
      <c r="G417" s="140" t="s">
        <v>25</v>
      </c>
      <c r="H417" s="18">
        <f t="shared" si="103"/>
        <v>0</v>
      </c>
      <c r="I417" s="18">
        <f t="shared" si="103"/>
        <v>5929</v>
      </c>
      <c r="J417" s="18">
        <f t="shared" si="103"/>
        <v>5929</v>
      </c>
      <c r="K417" s="18">
        <f t="shared" si="103"/>
        <v>5929</v>
      </c>
      <c r="L417" s="18">
        <f t="shared" si="103"/>
        <v>5929</v>
      </c>
      <c r="M417" s="18">
        <f t="shared" si="103"/>
        <v>5929</v>
      </c>
      <c r="N417" s="18">
        <f aca="true" t="shared" si="107" ref="N417:AM417">N11+N19+N27+N35+N43+N50+N58+N66+N74+N82+N90+N98+N106+N114+N122+N130+N138+N146+N154+N162+N170+N178+N186+N194+N202+N210+N218+N226+N234+N242+N250+N258+N266+N274+N282+N290+N298+N306+N314+N330+N338+N346+N354+N362+N370+N378+N386+N394+N402</f>
        <v>0</v>
      </c>
      <c r="O417" s="18" t="e">
        <f t="shared" si="107"/>
        <v>#REF!</v>
      </c>
      <c r="P417" s="18" t="e">
        <f t="shared" si="107"/>
        <v>#REF!</v>
      </c>
      <c r="Q417" s="18" t="e">
        <f t="shared" si="107"/>
        <v>#REF!</v>
      </c>
      <c r="R417" s="18" t="e">
        <f t="shared" si="107"/>
        <v>#REF!</v>
      </c>
      <c r="S417" s="18" t="e">
        <f t="shared" si="107"/>
        <v>#REF!</v>
      </c>
      <c r="T417" s="18" t="e">
        <f t="shared" si="107"/>
        <v>#REF!</v>
      </c>
      <c r="U417" s="18" t="e">
        <f t="shared" si="107"/>
        <v>#REF!</v>
      </c>
      <c r="V417" s="18" t="e">
        <f t="shared" si="107"/>
        <v>#REF!</v>
      </c>
      <c r="W417" s="18" t="e">
        <f t="shared" si="107"/>
        <v>#REF!</v>
      </c>
      <c r="X417" s="18" t="e">
        <f t="shared" si="107"/>
        <v>#REF!</v>
      </c>
      <c r="Y417" s="18" t="e">
        <f t="shared" si="107"/>
        <v>#REF!</v>
      </c>
      <c r="Z417" s="18" t="e">
        <f t="shared" si="107"/>
        <v>#REF!</v>
      </c>
      <c r="AA417" s="18" t="e">
        <f t="shared" si="107"/>
        <v>#REF!</v>
      </c>
      <c r="AB417" s="18" t="e">
        <f t="shared" si="107"/>
        <v>#REF!</v>
      </c>
      <c r="AC417" s="18" t="e">
        <f t="shared" si="107"/>
        <v>#REF!</v>
      </c>
      <c r="AD417" s="18" t="e">
        <f t="shared" si="107"/>
        <v>#REF!</v>
      </c>
      <c r="AE417" s="18" t="e">
        <f t="shared" si="107"/>
        <v>#REF!</v>
      </c>
      <c r="AF417" s="18" t="e">
        <f t="shared" si="107"/>
        <v>#REF!</v>
      </c>
      <c r="AG417" s="18" t="e">
        <f t="shared" si="107"/>
        <v>#REF!</v>
      </c>
      <c r="AH417" s="18" t="e">
        <f t="shared" si="107"/>
        <v>#REF!</v>
      </c>
      <c r="AI417" s="18" t="e">
        <f t="shared" si="107"/>
        <v>#REF!</v>
      </c>
      <c r="AJ417" s="18" t="e">
        <f t="shared" si="107"/>
        <v>#REF!</v>
      </c>
      <c r="AK417" s="18" t="e">
        <f t="shared" si="107"/>
        <v>#REF!</v>
      </c>
      <c r="AL417" s="18" t="e">
        <f t="shared" si="107"/>
        <v>#REF!</v>
      </c>
      <c r="AM417" s="141" t="e">
        <f t="shared" si="107"/>
        <v>#REF!</v>
      </c>
      <c r="AN417" s="779"/>
    </row>
    <row r="418" spans="1:40" ht="13.5" hidden="1" thickBot="1">
      <c r="A418" s="800"/>
      <c r="B418" s="801"/>
      <c r="C418" s="801"/>
      <c r="D418" s="801"/>
      <c r="E418" s="802"/>
      <c r="F418" s="116">
        <f>F412+F415</f>
        <v>543902259</v>
      </c>
      <c r="G418" s="142" t="s">
        <v>26</v>
      </c>
      <c r="H418" s="18">
        <f t="shared" si="103"/>
        <v>77410114</v>
      </c>
      <c r="I418" s="18">
        <f t="shared" si="103"/>
        <v>152155338</v>
      </c>
      <c r="J418" s="18">
        <f t="shared" si="103"/>
        <v>109396171</v>
      </c>
      <c r="K418" s="18">
        <f t="shared" si="103"/>
        <v>110966277</v>
      </c>
      <c r="L418" s="18">
        <f t="shared" si="103"/>
        <v>74444714</v>
      </c>
      <c r="M418" s="18">
        <f t="shared" si="103"/>
        <v>19500000</v>
      </c>
      <c r="N418" s="143">
        <f aca="true" t="shared" si="108" ref="N418:AM418">N12+N20+N28+N36+N44+N51+N59+N67+N75+N83+N91+N99+N107+N115+N123+N131+N139+N147+N155+N163+N171+N179+N187+N195+N203+N211+N219+N227+N235+N243+N251+N259+N267+N275+N283+N291+N299+N307+N315+N331+N339+N347+N355+N363+N371+N379+N387+N395+N403</f>
        <v>0</v>
      </c>
      <c r="O418" s="143">
        <f t="shared" si="108"/>
        <v>0</v>
      </c>
      <c r="P418" s="143">
        <f t="shared" si="108"/>
        <v>0</v>
      </c>
      <c r="Q418" s="143">
        <f t="shared" si="108"/>
        <v>0</v>
      </c>
      <c r="R418" s="143">
        <f t="shared" si="108"/>
        <v>0</v>
      </c>
      <c r="S418" s="143">
        <f t="shared" si="108"/>
        <v>0</v>
      </c>
      <c r="T418" s="143">
        <f t="shared" si="108"/>
        <v>0</v>
      </c>
      <c r="U418" s="143">
        <f t="shared" si="108"/>
        <v>0</v>
      </c>
      <c r="V418" s="143">
        <f t="shared" si="108"/>
        <v>0</v>
      </c>
      <c r="W418" s="143">
        <f t="shared" si="108"/>
        <v>0</v>
      </c>
      <c r="X418" s="143">
        <f t="shared" si="108"/>
        <v>0</v>
      </c>
      <c r="Y418" s="143">
        <f t="shared" si="108"/>
        <v>0</v>
      </c>
      <c r="Z418" s="143">
        <f t="shared" si="108"/>
        <v>0</v>
      </c>
      <c r="AA418" s="143">
        <f t="shared" si="108"/>
        <v>0</v>
      </c>
      <c r="AB418" s="143">
        <f t="shared" si="108"/>
        <v>0</v>
      </c>
      <c r="AC418" s="143">
        <f t="shared" si="108"/>
        <v>0</v>
      </c>
      <c r="AD418" s="143">
        <f t="shared" si="108"/>
        <v>0</v>
      </c>
      <c r="AE418" s="143">
        <f t="shared" si="108"/>
        <v>0</v>
      </c>
      <c r="AF418" s="143">
        <f t="shared" si="108"/>
        <v>0</v>
      </c>
      <c r="AG418" s="143">
        <f t="shared" si="108"/>
        <v>0</v>
      </c>
      <c r="AH418" s="143">
        <f t="shared" si="108"/>
        <v>0</v>
      </c>
      <c r="AI418" s="143">
        <f t="shared" si="108"/>
        <v>0</v>
      </c>
      <c r="AJ418" s="143">
        <f t="shared" si="108"/>
        <v>0</v>
      </c>
      <c r="AK418" s="143">
        <f t="shared" si="108"/>
        <v>0</v>
      </c>
      <c r="AL418" s="143">
        <f t="shared" si="108"/>
        <v>0</v>
      </c>
      <c r="AM418" s="144">
        <f t="shared" si="108"/>
        <v>0</v>
      </c>
      <c r="AN418" s="780"/>
    </row>
    <row r="419" spans="1:40" ht="12.75" hidden="1">
      <c r="A419" s="131"/>
      <c r="B419" s="132"/>
      <c r="C419" s="133"/>
      <c r="D419" s="134"/>
      <c r="E419" s="135"/>
      <c r="F419" s="127"/>
      <c r="G419" s="128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45"/>
    </row>
    <row r="420" spans="1:40" ht="12.75" hidden="1">
      <c r="A420" s="790"/>
      <c r="B420" s="791"/>
      <c r="C420" s="792"/>
      <c r="D420" s="793"/>
      <c r="E420" s="785"/>
      <c r="F420" s="127"/>
      <c r="G420" s="128"/>
      <c r="H420" s="146"/>
      <c r="I420" s="146"/>
      <c r="J420" s="146"/>
      <c r="K420" s="146"/>
      <c r="L420" s="146"/>
      <c r="M420" s="146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129"/>
      <c r="AE420" s="129"/>
      <c r="AF420" s="129"/>
      <c r="AG420" s="129"/>
      <c r="AH420" s="129"/>
      <c r="AI420" s="129"/>
      <c r="AJ420" s="129"/>
      <c r="AK420" s="129"/>
      <c r="AL420" s="129"/>
      <c r="AM420" s="129"/>
      <c r="AN420" s="786"/>
    </row>
    <row r="421" spans="1:40" ht="12.75" hidden="1">
      <c r="A421" s="790"/>
      <c r="B421" s="791"/>
      <c r="C421" s="792"/>
      <c r="D421" s="793"/>
      <c r="E421" s="785"/>
      <c r="F421" s="788"/>
      <c r="G421" s="128"/>
      <c r="H421" s="146"/>
      <c r="I421" s="146"/>
      <c r="J421" s="146"/>
      <c r="K421" s="146"/>
      <c r="L421" s="146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129"/>
      <c r="AE421" s="129"/>
      <c r="AF421" s="129"/>
      <c r="AG421" s="129"/>
      <c r="AH421" s="129"/>
      <c r="AI421" s="129"/>
      <c r="AJ421" s="129"/>
      <c r="AK421" s="129"/>
      <c r="AL421" s="129"/>
      <c r="AM421" s="129"/>
      <c r="AN421" s="786"/>
    </row>
    <row r="422" spans="1:40" ht="12.75" hidden="1">
      <c r="A422" s="790"/>
      <c r="B422" s="791"/>
      <c r="C422" s="792"/>
      <c r="D422" s="793"/>
      <c r="E422" s="785"/>
      <c r="F422" s="789"/>
      <c r="G422" s="128"/>
      <c r="H422" s="146"/>
      <c r="I422" s="146"/>
      <c r="J422" s="146"/>
      <c r="K422" s="146"/>
      <c r="L422" s="146"/>
      <c r="M422" s="146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129"/>
      <c r="AE422" s="129"/>
      <c r="AF422" s="129"/>
      <c r="AG422" s="129"/>
      <c r="AH422" s="129"/>
      <c r="AI422" s="129"/>
      <c r="AJ422" s="129"/>
      <c r="AK422" s="129"/>
      <c r="AL422" s="129"/>
      <c r="AM422" s="129"/>
      <c r="AN422" s="786"/>
    </row>
    <row r="423" spans="1:40" ht="12.75" hidden="1">
      <c r="A423" s="790"/>
      <c r="B423" s="791"/>
      <c r="C423" s="792"/>
      <c r="D423" s="793"/>
      <c r="E423" s="785"/>
      <c r="F423" s="127"/>
      <c r="G423" s="128"/>
      <c r="H423" s="146"/>
      <c r="I423" s="146"/>
      <c r="J423" s="146"/>
      <c r="K423" s="146"/>
      <c r="L423" s="146"/>
      <c r="M423" s="146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129"/>
      <c r="AE423" s="129"/>
      <c r="AF423" s="129"/>
      <c r="AG423" s="129"/>
      <c r="AH423" s="129"/>
      <c r="AI423" s="129"/>
      <c r="AJ423" s="129"/>
      <c r="AK423" s="129"/>
      <c r="AL423" s="129"/>
      <c r="AM423" s="129"/>
      <c r="AN423" s="786"/>
    </row>
    <row r="424" spans="1:40" ht="12.75" hidden="1">
      <c r="A424" s="790"/>
      <c r="B424" s="791"/>
      <c r="C424" s="792"/>
      <c r="D424" s="793"/>
      <c r="E424" s="785"/>
      <c r="F424" s="788"/>
      <c r="G424" s="128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129"/>
      <c r="AE424" s="129"/>
      <c r="AF424" s="129"/>
      <c r="AG424" s="129"/>
      <c r="AH424" s="129"/>
      <c r="AI424" s="129"/>
      <c r="AJ424" s="129"/>
      <c r="AK424" s="129"/>
      <c r="AL424" s="129"/>
      <c r="AM424" s="129"/>
      <c r="AN424" s="786"/>
    </row>
    <row r="425" spans="1:40" ht="12.75">
      <c r="A425" s="790"/>
      <c r="B425" s="791"/>
      <c r="C425" s="792"/>
      <c r="D425" s="793"/>
      <c r="E425" s="785"/>
      <c r="F425" s="789"/>
      <c r="G425" s="128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129"/>
      <c r="AE425" s="129"/>
      <c r="AF425" s="129"/>
      <c r="AG425" s="129"/>
      <c r="AH425" s="129"/>
      <c r="AI425" s="129"/>
      <c r="AJ425" s="129"/>
      <c r="AK425" s="129"/>
      <c r="AL425" s="129"/>
      <c r="AM425" s="129"/>
      <c r="AN425" s="786"/>
    </row>
    <row r="426" spans="1:40" ht="12.75">
      <c r="A426" s="790"/>
      <c r="B426" s="791"/>
      <c r="C426" s="792"/>
      <c r="D426" s="793"/>
      <c r="E426" s="785"/>
      <c r="F426" s="127"/>
      <c r="G426" s="128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786"/>
    </row>
    <row r="427" spans="1:40" ht="12.75">
      <c r="A427" s="790"/>
      <c r="B427" s="791"/>
      <c r="C427" s="792"/>
      <c r="D427" s="793"/>
      <c r="E427" s="785"/>
      <c r="F427" s="127"/>
      <c r="G427" s="128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786"/>
    </row>
    <row r="428" spans="1:40" ht="12.75">
      <c r="A428" s="790"/>
      <c r="B428" s="791"/>
      <c r="C428" s="792"/>
      <c r="D428" s="793"/>
      <c r="E428" s="785"/>
      <c r="F428" s="127"/>
      <c r="G428" s="128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129"/>
      <c r="AE428" s="129"/>
      <c r="AF428" s="129"/>
      <c r="AG428" s="129"/>
      <c r="AH428" s="129"/>
      <c r="AI428" s="129"/>
      <c r="AJ428" s="129"/>
      <c r="AK428" s="129"/>
      <c r="AL428" s="129"/>
      <c r="AM428" s="129"/>
      <c r="AN428" s="786"/>
    </row>
    <row r="429" spans="1:40" ht="12.75">
      <c r="A429" s="790"/>
      <c r="B429" s="791"/>
      <c r="C429" s="792"/>
      <c r="D429" s="793"/>
      <c r="E429" s="785"/>
      <c r="F429" s="788"/>
      <c r="G429" s="128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129"/>
      <c r="AE429" s="129"/>
      <c r="AF429" s="129"/>
      <c r="AG429" s="129"/>
      <c r="AH429" s="129"/>
      <c r="AI429" s="129"/>
      <c r="AJ429" s="129"/>
      <c r="AK429" s="129"/>
      <c r="AL429" s="129"/>
      <c r="AM429" s="129"/>
      <c r="AN429" s="794"/>
    </row>
    <row r="430" spans="1:40" ht="12.75">
      <c r="A430" s="790"/>
      <c r="B430" s="791"/>
      <c r="C430" s="792"/>
      <c r="D430" s="793"/>
      <c r="E430" s="785"/>
      <c r="F430" s="789"/>
      <c r="G430" s="128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129"/>
      <c r="AE430" s="129"/>
      <c r="AF430" s="129"/>
      <c r="AG430" s="129"/>
      <c r="AH430" s="129"/>
      <c r="AI430" s="129"/>
      <c r="AJ430" s="129"/>
      <c r="AK430" s="129"/>
      <c r="AL430" s="129"/>
      <c r="AM430" s="129"/>
      <c r="AN430" s="794"/>
    </row>
    <row r="431" spans="1:40" ht="12.75">
      <c r="A431" s="790"/>
      <c r="B431" s="791"/>
      <c r="C431" s="792"/>
      <c r="D431" s="793"/>
      <c r="E431" s="785"/>
      <c r="F431" s="127"/>
      <c r="G431" s="128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129"/>
      <c r="AE431" s="129"/>
      <c r="AF431" s="129"/>
      <c r="AG431" s="129"/>
      <c r="AH431" s="129"/>
      <c r="AI431" s="129"/>
      <c r="AJ431" s="129"/>
      <c r="AK431" s="129"/>
      <c r="AL431" s="129"/>
      <c r="AM431" s="129"/>
      <c r="AN431" s="794"/>
    </row>
    <row r="432" spans="1:40" ht="12.75">
      <c r="A432" s="790"/>
      <c r="B432" s="791"/>
      <c r="C432" s="792"/>
      <c r="D432" s="793"/>
      <c r="E432" s="785"/>
      <c r="F432" s="788"/>
      <c r="G432" s="128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129"/>
      <c r="AE432" s="129"/>
      <c r="AF432" s="129"/>
      <c r="AG432" s="129"/>
      <c r="AH432" s="129"/>
      <c r="AI432" s="129"/>
      <c r="AJ432" s="129"/>
      <c r="AK432" s="129"/>
      <c r="AL432" s="129"/>
      <c r="AM432" s="129"/>
      <c r="AN432" s="794"/>
    </row>
    <row r="433" spans="1:40" ht="12.75">
      <c r="A433" s="790"/>
      <c r="B433" s="791"/>
      <c r="C433" s="792"/>
      <c r="D433" s="793"/>
      <c r="E433" s="785"/>
      <c r="F433" s="789"/>
      <c r="G433" s="128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129"/>
      <c r="AE433" s="129"/>
      <c r="AF433" s="129"/>
      <c r="AG433" s="129"/>
      <c r="AH433" s="129"/>
      <c r="AI433" s="129"/>
      <c r="AJ433" s="129"/>
      <c r="AK433" s="129"/>
      <c r="AL433" s="129"/>
      <c r="AM433" s="129"/>
      <c r="AN433" s="794"/>
    </row>
    <row r="434" spans="1:40" ht="12.75">
      <c r="A434" s="790"/>
      <c r="B434" s="791"/>
      <c r="C434" s="792"/>
      <c r="D434" s="793"/>
      <c r="E434" s="785"/>
      <c r="F434" s="127"/>
      <c r="G434" s="128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794"/>
    </row>
    <row r="435" spans="1:40" ht="12.75">
      <c r="A435" s="790"/>
      <c r="B435" s="791"/>
      <c r="C435" s="792"/>
      <c r="D435" s="793"/>
      <c r="E435" s="785"/>
      <c r="F435" s="127"/>
      <c r="G435" s="128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794"/>
    </row>
    <row r="436" spans="1:40" ht="12.75">
      <c r="A436" s="790"/>
      <c r="B436" s="791"/>
      <c r="C436" s="792"/>
      <c r="D436" s="793"/>
      <c r="E436" s="785"/>
      <c r="F436" s="127"/>
      <c r="G436" s="128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129"/>
      <c r="AE436" s="129"/>
      <c r="AF436" s="129"/>
      <c r="AG436" s="129"/>
      <c r="AH436" s="129"/>
      <c r="AI436" s="129"/>
      <c r="AJ436" s="129"/>
      <c r="AK436" s="129"/>
      <c r="AL436" s="129"/>
      <c r="AM436" s="129"/>
      <c r="AN436" s="786"/>
    </row>
    <row r="437" spans="1:40" ht="12.75">
      <c r="A437" s="790"/>
      <c r="B437" s="791"/>
      <c r="C437" s="792"/>
      <c r="D437" s="793"/>
      <c r="E437" s="785"/>
      <c r="F437" s="788"/>
      <c r="G437" s="128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129"/>
      <c r="AE437" s="129"/>
      <c r="AF437" s="129"/>
      <c r="AG437" s="129"/>
      <c r="AH437" s="129"/>
      <c r="AI437" s="129"/>
      <c r="AJ437" s="129"/>
      <c r="AK437" s="129"/>
      <c r="AL437" s="129"/>
      <c r="AM437" s="129"/>
      <c r="AN437" s="786"/>
    </row>
    <row r="438" spans="1:40" ht="12.75">
      <c r="A438" s="790"/>
      <c r="B438" s="791"/>
      <c r="C438" s="792"/>
      <c r="D438" s="793"/>
      <c r="E438" s="785"/>
      <c r="F438" s="789"/>
      <c r="G438" s="128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129"/>
      <c r="AE438" s="129"/>
      <c r="AF438" s="129"/>
      <c r="AG438" s="129"/>
      <c r="AH438" s="129"/>
      <c r="AI438" s="129"/>
      <c r="AJ438" s="129"/>
      <c r="AK438" s="129"/>
      <c r="AL438" s="129"/>
      <c r="AM438" s="129"/>
      <c r="AN438" s="786"/>
    </row>
    <row r="439" spans="1:40" ht="12.75">
      <c r="A439" s="790"/>
      <c r="B439" s="791"/>
      <c r="C439" s="792"/>
      <c r="D439" s="793"/>
      <c r="E439" s="785"/>
      <c r="F439" s="127"/>
      <c r="G439" s="128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129"/>
      <c r="AE439" s="129"/>
      <c r="AF439" s="129"/>
      <c r="AG439" s="129"/>
      <c r="AH439" s="129"/>
      <c r="AI439" s="129"/>
      <c r="AJ439" s="129"/>
      <c r="AK439" s="129"/>
      <c r="AL439" s="129"/>
      <c r="AM439" s="129"/>
      <c r="AN439" s="786"/>
    </row>
    <row r="440" spans="1:40" ht="12.75">
      <c r="A440" s="790"/>
      <c r="B440" s="791"/>
      <c r="C440" s="792"/>
      <c r="D440" s="793"/>
      <c r="E440" s="785"/>
      <c r="F440" s="788"/>
      <c r="G440" s="128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129"/>
      <c r="AE440" s="129"/>
      <c r="AF440" s="129"/>
      <c r="AG440" s="129"/>
      <c r="AH440" s="129"/>
      <c r="AI440" s="129"/>
      <c r="AJ440" s="129"/>
      <c r="AK440" s="129"/>
      <c r="AL440" s="129"/>
      <c r="AM440" s="129"/>
      <c r="AN440" s="786"/>
    </row>
    <row r="441" spans="1:40" ht="12.75">
      <c r="A441" s="790"/>
      <c r="B441" s="791"/>
      <c r="C441" s="792"/>
      <c r="D441" s="793"/>
      <c r="E441" s="785"/>
      <c r="F441" s="789"/>
      <c r="G441" s="128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129"/>
      <c r="AE441" s="129"/>
      <c r="AF441" s="129"/>
      <c r="AG441" s="129"/>
      <c r="AH441" s="129"/>
      <c r="AI441" s="129"/>
      <c r="AJ441" s="129"/>
      <c r="AK441" s="129"/>
      <c r="AL441" s="129"/>
      <c r="AM441" s="129"/>
      <c r="AN441" s="786"/>
    </row>
    <row r="442" spans="1:40" ht="12.75">
      <c r="A442" s="790"/>
      <c r="B442" s="791"/>
      <c r="C442" s="792"/>
      <c r="D442" s="793"/>
      <c r="E442" s="785"/>
      <c r="F442" s="127"/>
      <c r="G442" s="128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786"/>
    </row>
    <row r="443" spans="1:40" ht="12.75">
      <c r="A443" s="790"/>
      <c r="B443" s="791"/>
      <c r="C443" s="792"/>
      <c r="D443" s="793"/>
      <c r="E443" s="785"/>
      <c r="F443" s="127"/>
      <c r="G443" s="128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786"/>
    </row>
    <row r="444" spans="1:40" ht="12.75">
      <c r="A444" s="790"/>
      <c r="B444" s="791"/>
      <c r="C444" s="792"/>
      <c r="D444" s="793"/>
      <c r="E444" s="785"/>
      <c r="F444" s="127"/>
      <c r="G444" s="128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129"/>
      <c r="AE444" s="129"/>
      <c r="AF444" s="129"/>
      <c r="AG444" s="129"/>
      <c r="AH444" s="129"/>
      <c r="AI444" s="129"/>
      <c r="AJ444" s="129"/>
      <c r="AK444" s="129"/>
      <c r="AL444" s="129"/>
      <c r="AM444" s="129"/>
      <c r="AN444" s="786"/>
    </row>
    <row r="445" spans="1:40" ht="12.75">
      <c r="A445" s="790"/>
      <c r="B445" s="791"/>
      <c r="C445" s="792"/>
      <c r="D445" s="793"/>
      <c r="E445" s="785"/>
      <c r="F445" s="788"/>
      <c r="G445" s="128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129"/>
      <c r="AE445" s="129"/>
      <c r="AF445" s="129"/>
      <c r="AG445" s="129"/>
      <c r="AH445" s="129"/>
      <c r="AI445" s="129"/>
      <c r="AJ445" s="129"/>
      <c r="AK445" s="129"/>
      <c r="AL445" s="129"/>
      <c r="AM445" s="129"/>
      <c r="AN445" s="787"/>
    </row>
    <row r="446" spans="1:40" ht="12.75">
      <c r="A446" s="790"/>
      <c r="B446" s="791"/>
      <c r="C446" s="792"/>
      <c r="D446" s="793"/>
      <c r="E446" s="785"/>
      <c r="F446" s="789"/>
      <c r="G446" s="128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129"/>
      <c r="AE446" s="129"/>
      <c r="AF446" s="129"/>
      <c r="AG446" s="129"/>
      <c r="AH446" s="129"/>
      <c r="AI446" s="129"/>
      <c r="AJ446" s="129"/>
      <c r="AK446" s="129"/>
      <c r="AL446" s="129"/>
      <c r="AM446" s="129"/>
      <c r="AN446" s="787"/>
    </row>
    <row r="447" spans="1:40" ht="12.75">
      <c r="A447" s="790"/>
      <c r="B447" s="791"/>
      <c r="C447" s="792"/>
      <c r="D447" s="793"/>
      <c r="E447" s="785"/>
      <c r="F447" s="127"/>
      <c r="G447" s="128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129"/>
      <c r="AE447" s="129"/>
      <c r="AF447" s="129"/>
      <c r="AG447" s="129"/>
      <c r="AH447" s="129"/>
      <c r="AI447" s="129"/>
      <c r="AJ447" s="129"/>
      <c r="AK447" s="129"/>
      <c r="AL447" s="129"/>
      <c r="AM447" s="129"/>
      <c r="AN447" s="787"/>
    </row>
    <row r="448" spans="1:40" ht="12.75">
      <c r="A448" s="790"/>
      <c r="B448" s="791"/>
      <c r="C448" s="792"/>
      <c r="D448" s="793"/>
      <c r="E448" s="785"/>
      <c r="F448" s="788"/>
      <c r="G448" s="128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129"/>
      <c r="AE448" s="129"/>
      <c r="AF448" s="129"/>
      <c r="AG448" s="129"/>
      <c r="AH448" s="129"/>
      <c r="AI448" s="129"/>
      <c r="AJ448" s="129"/>
      <c r="AK448" s="129"/>
      <c r="AL448" s="129"/>
      <c r="AM448" s="129"/>
      <c r="AN448" s="787"/>
    </row>
    <row r="449" spans="1:40" ht="12.75">
      <c r="A449" s="790"/>
      <c r="B449" s="791"/>
      <c r="C449" s="792"/>
      <c r="D449" s="793"/>
      <c r="E449" s="785"/>
      <c r="F449" s="789"/>
      <c r="G449" s="128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129"/>
      <c r="AE449" s="129"/>
      <c r="AF449" s="129"/>
      <c r="AG449" s="129"/>
      <c r="AH449" s="129"/>
      <c r="AI449" s="129"/>
      <c r="AJ449" s="129"/>
      <c r="AK449" s="129"/>
      <c r="AL449" s="129"/>
      <c r="AM449" s="129"/>
      <c r="AN449" s="787"/>
    </row>
    <row r="450" spans="1:40" ht="12.75">
      <c r="A450" s="790"/>
      <c r="B450" s="791"/>
      <c r="C450" s="792"/>
      <c r="D450" s="793"/>
      <c r="E450" s="785"/>
      <c r="F450" s="127"/>
      <c r="G450" s="128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787"/>
    </row>
    <row r="451" spans="1:40" ht="12.75">
      <c r="A451" s="790"/>
      <c r="B451" s="791"/>
      <c r="C451" s="792"/>
      <c r="D451" s="793"/>
      <c r="E451" s="785"/>
      <c r="F451" s="127"/>
      <c r="G451" s="128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787"/>
    </row>
    <row r="452" spans="1:40" ht="12.75">
      <c r="A452" s="790"/>
      <c r="B452" s="791"/>
      <c r="C452" s="792"/>
      <c r="D452" s="793"/>
      <c r="E452" s="785"/>
      <c r="F452" s="127"/>
      <c r="G452" s="128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129"/>
      <c r="AE452" s="129"/>
      <c r="AF452" s="129"/>
      <c r="AG452" s="129"/>
      <c r="AH452" s="129"/>
      <c r="AI452" s="129"/>
      <c r="AJ452" s="129"/>
      <c r="AK452" s="129"/>
      <c r="AL452" s="129"/>
      <c r="AM452" s="129"/>
      <c r="AN452" s="786"/>
    </row>
    <row r="453" spans="1:40" ht="12.75">
      <c r="A453" s="790"/>
      <c r="B453" s="791"/>
      <c r="C453" s="792"/>
      <c r="D453" s="793"/>
      <c r="E453" s="785"/>
      <c r="F453" s="788"/>
      <c r="G453" s="128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129"/>
      <c r="AE453" s="129"/>
      <c r="AF453" s="129"/>
      <c r="AG453" s="129"/>
      <c r="AH453" s="129"/>
      <c r="AI453" s="129"/>
      <c r="AJ453" s="129"/>
      <c r="AK453" s="129"/>
      <c r="AL453" s="129"/>
      <c r="AM453" s="129"/>
      <c r="AN453" s="787"/>
    </row>
    <row r="454" spans="1:40" ht="12.75">
      <c r="A454" s="790"/>
      <c r="B454" s="791"/>
      <c r="C454" s="792"/>
      <c r="D454" s="793"/>
      <c r="E454" s="785"/>
      <c r="F454" s="789"/>
      <c r="G454" s="128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129"/>
      <c r="AE454" s="129"/>
      <c r="AF454" s="129"/>
      <c r="AG454" s="129"/>
      <c r="AH454" s="129"/>
      <c r="AI454" s="129"/>
      <c r="AJ454" s="129"/>
      <c r="AK454" s="129"/>
      <c r="AL454" s="129"/>
      <c r="AM454" s="129"/>
      <c r="AN454" s="787"/>
    </row>
    <row r="455" spans="1:40" ht="12.75">
      <c r="A455" s="790"/>
      <c r="B455" s="791"/>
      <c r="C455" s="792"/>
      <c r="D455" s="793"/>
      <c r="E455" s="785"/>
      <c r="F455" s="127"/>
      <c r="G455" s="128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129"/>
      <c r="AE455" s="129"/>
      <c r="AF455" s="129"/>
      <c r="AG455" s="129"/>
      <c r="AH455" s="129"/>
      <c r="AI455" s="129"/>
      <c r="AJ455" s="129"/>
      <c r="AK455" s="129"/>
      <c r="AL455" s="129"/>
      <c r="AM455" s="129"/>
      <c r="AN455" s="787"/>
    </row>
    <row r="456" spans="1:40" ht="12.75">
      <c r="A456" s="790"/>
      <c r="B456" s="791"/>
      <c r="C456" s="792"/>
      <c r="D456" s="793"/>
      <c r="E456" s="785"/>
      <c r="F456" s="788"/>
      <c r="G456" s="128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129"/>
      <c r="AE456" s="129"/>
      <c r="AF456" s="129"/>
      <c r="AG456" s="129"/>
      <c r="AH456" s="129"/>
      <c r="AI456" s="129"/>
      <c r="AJ456" s="129"/>
      <c r="AK456" s="129"/>
      <c r="AL456" s="129"/>
      <c r="AM456" s="129"/>
      <c r="AN456" s="787"/>
    </row>
    <row r="457" spans="1:40" ht="12.75">
      <c r="A457" s="790"/>
      <c r="B457" s="791"/>
      <c r="C457" s="792"/>
      <c r="D457" s="793"/>
      <c r="E457" s="785"/>
      <c r="F457" s="789"/>
      <c r="G457" s="128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129"/>
      <c r="AE457" s="129"/>
      <c r="AF457" s="129"/>
      <c r="AG457" s="129"/>
      <c r="AH457" s="129"/>
      <c r="AI457" s="129"/>
      <c r="AJ457" s="129"/>
      <c r="AK457" s="129"/>
      <c r="AL457" s="129"/>
      <c r="AM457" s="129"/>
      <c r="AN457" s="787"/>
    </row>
    <row r="458" spans="1:40" ht="12.75">
      <c r="A458" s="790"/>
      <c r="B458" s="791"/>
      <c r="C458" s="792"/>
      <c r="D458" s="793"/>
      <c r="E458" s="785"/>
      <c r="F458" s="127"/>
      <c r="G458" s="128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787"/>
    </row>
    <row r="459" spans="1:40" ht="12.75">
      <c r="A459" s="790"/>
      <c r="B459" s="791"/>
      <c r="C459" s="792"/>
      <c r="D459" s="793"/>
      <c r="E459" s="785"/>
      <c r="F459" s="127"/>
      <c r="G459" s="128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787"/>
    </row>
    <row r="460" spans="1:40" ht="12.75">
      <c r="A460" s="790"/>
      <c r="B460" s="791"/>
      <c r="C460" s="792"/>
      <c r="D460" s="793"/>
      <c r="E460" s="785"/>
      <c r="F460" s="127"/>
      <c r="G460" s="128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129"/>
      <c r="AE460" s="129"/>
      <c r="AF460" s="129"/>
      <c r="AG460" s="129"/>
      <c r="AH460" s="129"/>
      <c r="AI460" s="129"/>
      <c r="AJ460" s="129"/>
      <c r="AK460" s="129"/>
      <c r="AL460" s="129"/>
      <c r="AM460" s="129"/>
      <c r="AN460" s="786"/>
    </row>
    <row r="461" spans="1:40" ht="12.75">
      <c r="A461" s="790"/>
      <c r="B461" s="791"/>
      <c r="C461" s="792"/>
      <c r="D461" s="793"/>
      <c r="E461" s="785"/>
      <c r="F461" s="788"/>
      <c r="G461" s="128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129"/>
      <c r="AE461" s="129"/>
      <c r="AF461" s="129"/>
      <c r="AG461" s="129"/>
      <c r="AH461" s="129"/>
      <c r="AI461" s="129"/>
      <c r="AJ461" s="129"/>
      <c r="AK461" s="129"/>
      <c r="AL461" s="129"/>
      <c r="AM461" s="129"/>
      <c r="AN461" s="787"/>
    </row>
    <row r="462" spans="1:40" ht="12.75">
      <c r="A462" s="790"/>
      <c r="B462" s="791"/>
      <c r="C462" s="792"/>
      <c r="D462" s="793"/>
      <c r="E462" s="785"/>
      <c r="F462" s="789"/>
      <c r="G462" s="128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129"/>
      <c r="AE462" s="129"/>
      <c r="AF462" s="129"/>
      <c r="AG462" s="129"/>
      <c r="AH462" s="129"/>
      <c r="AI462" s="129"/>
      <c r="AJ462" s="129"/>
      <c r="AK462" s="129"/>
      <c r="AL462" s="129"/>
      <c r="AM462" s="129"/>
      <c r="AN462" s="787"/>
    </row>
    <row r="463" spans="1:40" ht="12.75">
      <c r="A463" s="790"/>
      <c r="B463" s="791"/>
      <c r="C463" s="792"/>
      <c r="D463" s="793"/>
      <c r="E463" s="785"/>
      <c r="F463" s="127"/>
      <c r="G463" s="128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129"/>
      <c r="AE463" s="129"/>
      <c r="AF463" s="129"/>
      <c r="AG463" s="129"/>
      <c r="AH463" s="129"/>
      <c r="AI463" s="129"/>
      <c r="AJ463" s="129"/>
      <c r="AK463" s="129"/>
      <c r="AL463" s="129"/>
      <c r="AM463" s="129"/>
      <c r="AN463" s="787"/>
    </row>
    <row r="464" spans="1:40" ht="12.75">
      <c r="A464" s="790"/>
      <c r="B464" s="791"/>
      <c r="C464" s="792"/>
      <c r="D464" s="793"/>
      <c r="E464" s="785"/>
      <c r="F464" s="788"/>
      <c r="G464" s="128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129"/>
      <c r="AE464" s="129"/>
      <c r="AF464" s="129"/>
      <c r="AG464" s="129"/>
      <c r="AH464" s="129"/>
      <c r="AI464" s="129"/>
      <c r="AJ464" s="129"/>
      <c r="AK464" s="129"/>
      <c r="AL464" s="129"/>
      <c r="AM464" s="129"/>
      <c r="AN464" s="787"/>
    </row>
    <row r="465" spans="1:40" ht="12.75">
      <c r="A465" s="790"/>
      <c r="B465" s="791"/>
      <c r="C465" s="792"/>
      <c r="D465" s="793"/>
      <c r="E465" s="785"/>
      <c r="F465" s="789"/>
      <c r="G465" s="128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129"/>
      <c r="AE465" s="129"/>
      <c r="AF465" s="129"/>
      <c r="AG465" s="129"/>
      <c r="AH465" s="129"/>
      <c r="AI465" s="129"/>
      <c r="AJ465" s="129"/>
      <c r="AK465" s="129"/>
      <c r="AL465" s="129"/>
      <c r="AM465" s="129"/>
      <c r="AN465" s="787"/>
    </row>
    <row r="466" spans="1:40" ht="12.75">
      <c r="A466" s="790"/>
      <c r="B466" s="791"/>
      <c r="C466" s="792"/>
      <c r="D466" s="793"/>
      <c r="E466" s="785"/>
      <c r="F466" s="127"/>
      <c r="G466" s="128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  <c r="Z466" s="137"/>
      <c r="AA466" s="137"/>
      <c r="AB466" s="137"/>
      <c r="AC466" s="137"/>
      <c r="AD466" s="137"/>
      <c r="AE466" s="137"/>
      <c r="AF466" s="137"/>
      <c r="AG466" s="137"/>
      <c r="AH466" s="137"/>
      <c r="AI466" s="137"/>
      <c r="AJ466" s="137"/>
      <c r="AK466" s="137"/>
      <c r="AL466" s="137"/>
      <c r="AM466" s="137"/>
      <c r="AN466" s="787"/>
    </row>
    <row r="467" spans="1:40" ht="12.75">
      <c r="A467" s="790"/>
      <c r="B467" s="791"/>
      <c r="C467" s="792"/>
      <c r="D467" s="793"/>
      <c r="E467" s="785"/>
      <c r="F467" s="127"/>
      <c r="G467" s="128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787"/>
    </row>
    <row r="468" spans="1:40" ht="12.75">
      <c r="A468" s="790"/>
      <c r="B468" s="791"/>
      <c r="C468" s="792"/>
      <c r="D468" s="793"/>
      <c r="E468" s="785"/>
      <c r="F468" s="127"/>
      <c r="G468" s="128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129"/>
      <c r="AE468" s="129"/>
      <c r="AF468" s="129"/>
      <c r="AG468" s="129"/>
      <c r="AH468" s="129"/>
      <c r="AI468" s="129"/>
      <c r="AJ468" s="129"/>
      <c r="AK468" s="129"/>
      <c r="AL468" s="129"/>
      <c r="AM468" s="129"/>
      <c r="AN468" s="786"/>
    </row>
    <row r="469" spans="1:40" ht="12.75">
      <c r="A469" s="790"/>
      <c r="B469" s="791"/>
      <c r="C469" s="792"/>
      <c r="D469" s="793"/>
      <c r="E469" s="785"/>
      <c r="F469" s="788"/>
      <c r="G469" s="128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129"/>
      <c r="AE469" s="129"/>
      <c r="AF469" s="129"/>
      <c r="AG469" s="129"/>
      <c r="AH469" s="129"/>
      <c r="AI469" s="129"/>
      <c r="AJ469" s="129"/>
      <c r="AK469" s="129"/>
      <c r="AL469" s="129"/>
      <c r="AM469" s="129"/>
      <c r="AN469" s="787"/>
    </row>
    <row r="470" spans="1:40" ht="12.75">
      <c r="A470" s="790"/>
      <c r="B470" s="791"/>
      <c r="C470" s="792"/>
      <c r="D470" s="793"/>
      <c r="E470" s="785"/>
      <c r="F470" s="789"/>
      <c r="G470" s="128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129"/>
      <c r="AE470" s="129"/>
      <c r="AF470" s="129"/>
      <c r="AG470" s="129"/>
      <c r="AH470" s="129"/>
      <c r="AI470" s="129"/>
      <c r="AJ470" s="129"/>
      <c r="AK470" s="129"/>
      <c r="AL470" s="129"/>
      <c r="AM470" s="129"/>
      <c r="AN470" s="787"/>
    </row>
    <row r="471" spans="1:40" ht="12.75">
      <c r="A471" s="790"/>
      <c r="B471" s="791"/>
      <c r="C471" s="792"/>
      <c r="D471" s="793"/>
      <c r="E471" s="785"/>
      <c r="F471" s="127"/>
      <c r="G471" s="128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129"/>
      <c r="AE471" s="129"/>
      <c r="AF471" s="129"/>
      <c r="AG471" s="129"/>
      <c r="AH471" s="129"/>
      <c r="AI471" s="129"/>
      <c r="AJ471" s="129"/>
      <c r="AK471" s="129"/>
      <c r="AL471" s="129"/>
      <c r="AM471" s="129"/>
      <c r="AN471" s="787"/>
    </row>
    <row r="472" spans="1:40" ht="12.75">
      <c r="A472" s="790"/>
      <c r="B472" s="791"/>
      <c r="C472" s="792"/>
      <c r="D472" s="793"/>
      <c r="E472" s="785"/>
      <c r="F472" s="788"/>
      <c r="G472" s="128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129"/>
      <c r="AE472" s="129"/>
      <c r="AF472" s="129"/>
      <c r="AG472" s="129"/>
      <c r="AH472" s="129"/>
      <c r="AI472" s="129"/>
      <c r="AJ472" s="129"/>
      <c r="AK472" s="129"/>
      <c r="AL472" s="129"/>
      <c r="AM472" s="129"/>
      <c r="AN472" s="787"/>
    </row>
    <row r="473" spans="1:40" ht="12.75">
      <c r="A473" s="790"/>
      <c r="B473" s="791"/>
      <c r="C473" s="792"/>
      <c r="D473" s="793"/>
      <c r="E473" s="785"/>
      <c r="F473" s="789"/>
      <c r="G473" s="128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129"/>
      <c r="AE473" s="129"/>
      <c r="AF473" s="129"/>
      <c r="AG473" s="129"/>
      <c r="AH473" s="129"/>
      <c r="AI473" s="129"/>
      <c r="AJ473" s="129"/>
      <c r="AK473" s="129"/>
      <c r="AL473" s="129"/>
      <c r="AM473" s="129"/>
      <c r="AN473" s="787"/>
    </row>
    <row r="474" spans="1:40" ht="12.75">
      <c r="A474" s="790"/>
      <c r="B474" s="791"/>
      <c r="C474" s="792"/>
      <c r="D474" s="793"/>
      <c r="E474" s="785"/>
      <c r="F474" s="127"/>
      <c r="G474" s="128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787"/>
    </row>
    <row r="475" spans="1:40" ht="12.75">
      <c r="A475" s="790"/>
      <c r="B475" s="791"/>
      <c r="C475" s="792"/>
      <c r="D475" s="793"/>
      <c r="E475" s="785"/>
      <c r="F475" s="127"/>
      <c r="G475" s="128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787"/>
    </row>
    <row r="476" spans="1:40" ht="12.75">
      <c r="A476" s="790"/>
      <c r="B476" s="791"/>
      <c r="C476" s="792"/>
      <c r="D476" s="793"/>
      <c r="E476" s="785"/>
      <c r="F476" s="127"/>
      <c r="G476" s="128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129"/>
      <c r="AE476" s="129"/>
      <c r="AF476" s="129"/>
      <c r="AG476" s="129"/>
      <c r="AH476" s="129"/>
      <c r="AI476" s="129"/>
      <c r="AJ476" s="129"/>
      <c r="AK476" s="129"/>
      <c r="AL476" s="129"/>
      <c r="AM476" s="129"/>
      <c r="AN476" s="786"/>
    </row>
    <row r="477" spans="1:40" ht="12.75">
      <c r="A477" s="790"/>
      <c r="B477" s="791"/>
      <c r="C477" s="792"/>
      <c r="D477" s="793"/>
      <c r="E477" s="785"/>
      <c r="F477" s="788"/>
      <c r="G477" s="128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129"/>
      <c r="AE477" s="129"/>
      <c r="AF477" s="129"/>
      <c r="AG477" s="129"/>
      <c r="AH477" s="129"/>
      <c r="AI477" s="129"/>
      <c r="AJ477" s="129"/>
      <c r="AK477" s="129"/>
      <c r="AL477" s="129"/>
      <c r="AM477" s="129"/>
      <c r="AN477" s="787"/>
    </row>
    <row r="478" spans="1:40" ht="12.75">
      <c r="A478" s="790"/>
      <c r="B478" s="791"/>
      <c r="C478" s="792"/>
      <c r="D478" s="793"/>
      <c r="E478" s="785"/>
      <c r="F478" s="789"/>
      <c r="G478" s="128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129"/>
      <c r="AE478" s="129"/>
      <c r="AF478" s="129"/>
      <c r="AG478" s="129"/>
      <c r="AH478" s="129"/>
      <c r="AI478" s="129"/>
      <c r="AJ478" s="129"/>
      <c r="AK478" s="129"/>
      <c r="AL478" s="129"/>
      <c r="AM478" s="129"/>
      <c r="AN478" s="787"/>
    </row>
    <row r="479" spans="1:40" ht="12.75">
      <c r="A479" s="790"/>
      <c r="B479" s="791"/>
      <c r="C479" s="792"/>
      <c r="D479" s="793"/>
      <c r="E479" s="785"/>
      <c r="F479" s="127"/>
      <c r="G479" s="128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129"/>
      <c r="AE479" s="129"/>
      <c r="AF479" s="129"/>
      <c r="AG479" s="129"/>
      <c r="AH479" s="129"/>
      <c r="AI479" s="129"/>
      <c r="AJ479" s="129"/>
      <c r="AK479" s="129"/>
      <c r="AL479" s="129"/>
      <c r="AM479" s="129"/>
      <c r="AN479" s="787"/>
    </row>
    <row r="480" spans="1:40" ht="12.75">
      <c r="A480" s="790"/>
      <c r="B480" s="791"/>
      <c r="C480" s="792"/>
      <c r="D480" s="793"/>
      <c r="E480" s="785"/>
      <c r="F480" s="788"/>
      <c r="G480" s="128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129"/>
      <c r="AE480" s="129"/>
      <c r="AF480" s="129"/>
      <c r="AG480" s="129"/>
      <c r="AH480" s="129"/>
      <c r="AI480" s="129"/>
      <c r="AJ480" s="129"/>
      <c r="AK480" s="129"/>
      <c r="AL480" s="129"/>
      <c r="AM480" s="129"/>
      <c r="AN480" s="787"/>
    </row>
    <row r="481" spans="1:40" ht="12.75">
      <c r="A481" s="790"/>
      <c r="B481" s="791"/>
      <c r="C481" s="792"/>
      <c r="D481" s="793"/>
      <c r="E481" s="785"/>
      <c r="F481" s="789"/>
      <c r="G481" s="128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129"/>
      <c r="AE481" s="129"/>
      <c r="AF481" s="129"/>
      <c r="AG481" s="129"/>
      <c r="AH481" s="129"/>
      <c r="AI481" s="129"/>
      <c r="AJ481" s="129"/>
      <c r="AK481" s="129"/>
      <c r="AL481" s="129"/>
      <c r="AM481" s="129"/>
      <c r="AN481" s="787"/>
    </row>
    <row r="482" spans="1:40" ht="12.75">
      <c r="A482" s="790"/>
      <c r="B482" s="791"/>
      <c r="C482" s="792"/>
      <c r="D482" s="793"/>
      <c r="E482" s="785"/>
      <c r="F482" s="127"/>
      <c r="G482" s="128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787"/>
    </row>
    <row r="483" spans="1:40" ht="12.75">
      <c r="A483" s="790"/>
      <c r="B483" s="791"/>
      <c r="C483" s="792"/>
      <c r="D483" s="793"/>
      <c r="E483" s="785"/>
      <c r="F483" s="127"/>
      <c r="G483" s="128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787"/>
    </row>
    <row r="484" spans="1:40" ht="12.75">
      <c r="A484" s="790"/>
      <c r="B484" s="791"/>
      <c r="C484" s="792"/>
      <c r="D484" s="793"/>
      <c r="E484" s="785"/>
      <c r="F484" s="127"/>
      <c r="G484" s="128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129"/>
      <c r="AE484" s="129"/>
      <c r="AF484" s="129"/>
      <c r="AG484" s="129"/>
      <c r="AH484" s="129"/>
      <c r="AI484" s="129"/>
      <c r="AJ484" s="129"/>
      <c r="AK484" s="129"/>
      <c r="AL484" s="129"/>
      <c r="AM484" s="129"/>
      <c r="AN484" s="786"/>
    </row>
    <row r="485" spans="1:40" ht="12.75">
      <c r="A485" s="790"/>
      <c r="B485" s="791"/>
      <c r="C485" s="792"/>
      <c r="D485" s="793"/>
      <c r="E485" s="785"/>
      <c r="F485" s="788"/>
      <c r="G485" s="128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129"/>
      <c r="AE485" s="129"/>
      <c r="AF485" s="129"/>
      <c r="AG485" s="129"/>
      <c r="AH485" s="129"/>
      <c r="AI485" s="129"/>
      <c r="AJ485" s="129"/>
      <c r="AK485" s="129"/>
      <c r="AL485" s="129"/>
      <c r="AM485" s="129"/>
      <c r="AN485" s="787"/>
    </row>
    <row r="486" spans="1:40" ht="12.75">
      <c r="A486" s="790"/>
      <c r="B486" s="791"/>
      <c r="C486" s="792"/>
      <c r="D486" s="793"/>
      <c r="E486" s="785"/>
      <c r="F486" s="789"/>
      <c r="G486" s="128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129"/>
      <c r="AE486" s="129"/>
      <c r="AF486" s="129"/>
      <c r="AG486" s="129"/>
      <c r="AH486" s="129"/>
      <c r="AI486" s="129"/>
      <c r="AJ486" s="129"/>
      <c r="AK486" s="129"/>
      <c r="AL486" s="129"/>
      <c r="AM486" s="129"/>
      <c r="AN486" s="787"/>
    </row>
    <row r="487" spans="1:40" ht="12.75">
      <c r="A487" s="790"/>
      <c r="B487" s="791"/>
      <c r="C487" s="792"/>
      <c r="D487" s="793"/>
      <c r="E487" s="785"/>
      <c r="F487" s="127"/>
      <c r="G487" s="128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129"/>
      <c r="AE487" s="129"/>
      <c r="AF487" s="129"/>
      <c r="AG487" s="129"/>
      <c r="AH487" s="129"/>
      <c r="AI487" s="129"/>
      <c r="AJ487" s="129"/>
      <c r="AK487" s="129"/>
      <c r="AL487" s="129"/>
      <c r="AM487" s="129"/>
      <c r="AN487" s="787"/>
    </row>
    <row r="488" spans="1:40" ht="12.75">
      <c r="A488" s="790"/>
      <c r="B488" s="791"/>
      <c r="C488" s="792"/>
      <c r="D488" s="793"/>
      <c r="E488" s="785"/>
      <c r="F488" s="788"/>
      <c r="G488" s="128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129"/>
      <c r="AE488" s="129"/>
      <c r="AF488" s="129"/>
      <c r="AG488" s="129"/>
      <c r="AH488" s="129"/>
      <c r="AI488" s="129"/>
      <c r="AJ488" s="129"/>
      <c r="AK488" s="129"/>
      <c r="AL488" s="129"/>
      <c r="AM488" s="129"/>
      <c r="AN488" s="787"/>
    </row>
    <row r="489" spans="1:40" ht="12.75">
      <c r="A489" s="790"/>
      <c r="B489" s="791"/>
      <c r="C489" s="792"/>
      <c r="D489" s="793"/>
      <c r="E489" s="785"/>
      <c r="F489" s="789"/>
      <c r="G489" s="128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129"/>
      <c r="AE489" s="129"/>
      <c r="AF489" s="129"/>
      <c r="AG489" s="129"/>
      <c r="AH489" s="129"/>
      <c r="AI489" s="129"/>
      <c r="AJ489" s="129"/>
      <c r="AK489" s="129"/>
      <c r="AL489" s="129"/>
      <c r="AM489" s="129"/>
      <c r="AN489" s="787"/>
    </row>
    <row r="490" spans="1:40" ht="12.75">
      <c r="A490" s="790"/>
      <c r="B490" s="791"/>
      <c r="C490" s="792"/>
      <c r="D490" s="793"/>
      <c r="E490" s="785"/>
      <c r="F490" s="127"/>
      <c r="G490" s="128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787"/>
    </row>
    <row r="491" spans="1:40" ht="12.75">
      <c r="A491" s="790"/>
      <c r="B491" s="791"/>
      <c r="C491" s="792"/>
      <c r="D491" s="793"/>
      <c r="E491" s="785"/>
      <c r="F491" s="127"/>
      <c r="G491" s="128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787"/>
    </row>
    <row r="492" spans="1:40" ht="12.75">
      <c r="A492" s="790"/>
      <c r="B492" s="791"/>
      <c r="C492" s="792"/>
      <c r="D492" s="793"/>
      <c r="E492" s="785"/>
      <c r="F492" s="127"/>
      <c r="G492" s="128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129"/>
      <c r="AE492" s="129"/>
      <c r="AF492" s="129"/>
      <c r="AG492" s="129"/>
      <c r="AH492" s="129"/>
      <c r="AI492" s="129"/>
      <c r="AJ492" s="129"/>
      <c r="AK492" s="129"/>
      <c r="AL492" s="129"/>
      <c r="AM492" s="129"/>
      <c r="AN492" s="786"/>
    </row>
    <row r="493" spans="1:40" ht="12.75">
      <c r="A493" s="790"/>
      <c r="B493" s="791"/>
      <c r="C493" s="792"/>
      <c r="D493" s="793"/>
      <c r="E493" s="785"/>
      <c r="F493" s="788"/>
      <c r="G493" s="128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129"/>
      <c r="AE493" s="129"/>
      <c r="AF493" s="129"/>
      <c r="AG493" s="129"/>
      <c r="AH493" s="129"/>
      <c r="AI493" s="129"/>
      <c r="AJ493" s="129"/>
      <c r="AK493" s="129"/>
      <c r="AL493" s="129"/>
      <c r="AM493" s="129"/>
      <c r="AN493" s="787"/>
    </row>
    <row r="494" spans="1:40" ht="12.75">
      <c r="A494" s="790"/>
      <c r="B494" s="791"/>
      <c r="C494" s="792"/>
      <c r="D494" s="793"/>
      <c r="E494" s="785"/>
      <c r="F494" s="789"/>
      <c r="G494" s="128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129"/>
      <c r="AE494" s="129"/>
      <c r="AF494" s="129"/>
      <c r="AG494" s="129"/>
      <c r="AH494" s="129"/>
      <c r="AI494" s="129"/>
      <c r="AJ494" s="129"/>
      <c r="AK494" s="129"/>
      <c r="AL494" s="129"/>
      <c r="AM494" s="129"/>
      <c r="AN494" s="787"/>
    </row>
    <row r="495" spans="1:40" ht="12.75">
      <c r="A495" s="790"/>
      <c r="B495" s="791"/>
      <c r="C495" s="792"/>
      <c r="D495" s="793"/>
      <c r="E495" s="785"/>
      <c r="F495" s="127"/>
      <c r="G495" s="128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129"/>
      <c r="AE495" s="129"/>
      <c r="AF495" s="129"/>
      <c r="AG495" s="129"/>
      <c r="AH495" s="129"/>
      <c r="AI495" s="129"/>
      <c r="AJ495" s="129"/>
      <c r="AK495" s="129"/>
      <c r="AL495" s="129"/>
      <c r="AM495" s="129"/>
      <c r="AN495" s="787"/>
    </row>
    <row r="496" spans="1:40" ht="12.75">
      <c r="A496" s="790"/>
      <c r="B496" s="791"/>
      <c r="C496" s="792"/>
      <c r="D496" s="793"/>
      <c r="E496" s="785"/>
      <c r="F496" s="788"/>
      <c r="G496" s="128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129"/>
      <c r="AE496" s="129"/>
      <c r="AF496" s="129"/>
      <c r="AG496" s="129"/>
      <c r="AH496" s="129"/>
      <c r="AI496" s="129"/>
      <c r="AJ496" s="129"/>
      <c r="AK496" s="129"/>
      <c r="AL496" s="129"/>
      <c r="AM496" s="129"/>
      <c r="AN496" s="787"/>
    </row>
    <row r="497" spans="1:40" ht="12.75">
      <c r="A497" s="790"/>
      <c r="B497" s="791"/>
      <c r="C497" s="792"/>
      <c r="D497" s="793"/>
      <c r="E497" s="785"/>
      <c r="F497" s="789"/>
      <c r="G497" s="128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  <c r="AA497" s="129"/>
      <c r="AB497" s="129"/>
      <c r="AC497" s="129"/>
      <c r="AD497" s="129"/>
      <c r="AE497" s="129"/>
      <c r="AF497" s="129"/>
      <c r="AG497" s="129"/>
      <c r="AH497" s="129"/>
      <c r="AI497" s="129"/>
      <c r="AJ497" s="129"/>
      <c r="AK497" s="129"/>
      <c r="AL497" s="129"/>
      <c r="AM497" s="129"/>
      <c r="AN497" s="787"/>
    </row>
    <row r="498" spans="1:40" ht="12.75">
      <c r="A498" s="790"/>
      <c r="B498" s="791"/>
      <c r="C498" s="792"/>
      <c r="D498" s="793"/>
      <c r="E498" s="785"/>
      <c r="F498" s="127"/>
      <c r="G498" s="128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787"/>
    </row>
    <row r="499" spans="1:40" ht="12.75">
      <c r="A499" s="790"/>
      <c r="B499" s="791"/>
      <c r="C499" s="792"/>
      <c r="D499" s="793"/>
      <c r="E499" s="785"/>
      <c r="F499" s="127"/>
      <c r="G499" s="128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787"/>
    </row>
    <row r="500" spans="1:40" ht="12.75">
      <c r="A500" s="790"/>
      <c r="B500" s="791"/>
      <c r="C500" s="792"/>
      <c r="D500" s="793"/>
      <c r="E500" s="785"/>
      <c r="F500" s="127"/>
      <c r="G500" s="128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  <c r="AA500" s="129"/>
      <c r="AB500" s="129"/>
      <c r="AC500" s="129"/>
      <c r="AD500" s="129"/>
      <c r="AE500" s="129"/>
      <c r="AF500" s="129"/>
      <c r="AG500" s="129"/>
      <c r="AH500" s="129"/>
      <c r="AI500" s="129"/>
      <c r="AJ500" s="129"/>
      <c r="AK500" s="129"/>
      <c r="AL500" s="129"/>
      <c r="AM500" s="129"/>
      <c r="AN500" s="786"/>
    </row>
    <row r="501" spans="1:40" ht="12.75">
      <c r="A501" s="790"/>
      <c r="B501" s="791"/>
      <c r="C501" s="792"/>
      <c r="D501" s="793"/>
      <c r="E501" s="785"/>
      <c r="F501" s="788"/>
      <c r="G501" s="128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  <c r="AA501" s="129"/>
      <c r="AB501" s="129"/>
      <c r="AC501" s="129"/>
      <c r="AD501" s="129"/>
      <c r="AE501" s="129"/>
      <c r="AF501" s="129"/>
      <c r="AG501" s="129"/>
      <c r="AH501" s="129"/>
      <c r="AI501" s="129"/>
      <c r="AJ501" s="129"/>
      <c r="AK501" s="129"/>
      <c r="AL501" s="129"/>
      <c r="AM501" s="129"/>
      <c r="AN501" s="787"/>
    </row>
    <row r="502" spans="1:40" ht="12.75">
      <c r="A502" s="790"/>
      <c r="B502" s="791"/>
      <c r="C502" s="792"/>
      <c r="D502" s="793"/>
      <c r="E502" s="785"/>
      <c r="F502" s="789"/>
      <c r="G502" s="128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129"/>
      <c r="AE502" s="129"/>
      <c r="AF502" s="129"/>
      <c r="AG502" s="129"/>
      <c r="AH502" s="129"/>
      <c r="AI502" s="129"/>
      <c r="AJ502" s="129"/>
      <c r="AK502" s="129"/>
      <c r="AL502" s="129"/>
      <c r="AM502" s="129"/>
      <c r="AN502" s="787"/>
    </row>
    <row r="503" spans="1:40" ht="12.75">
      <c r="A503" s="790"/>
      <c r="B503" s="791"/>
      <c r="C503" s="792"/>
      <c r="D503" s="793"/>
      <c r="E503" s="785"/>
      <c r="F503" s="127"/>
      <c r="G503" s="128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  <c r="AA503" s="129"/>
      <c r="AB503" s="129"/>
      <c r="AC503" s="129"/>
      <c r="AD503" s="129"/>
      <c r="AE503" s="129"/>
      <c r="AF503" s="129"/>
      <c r="AG503" s="129"/>
      <c r="AH503" s="129"/>
      <c r="AI503" s="129"/>
      <c r="AJ503" s="129"/>
      <c r="AK503" s="129"/>
      <c r="AL503" s="129"/>
      <c r="AM503" s="129"/>
      <c r="AN503" s="787"/>
    </row>
    <row r="504" spans="1:40" ht="12.75">
      <c r="A504" s="790"/>
      <c r="B504" s="791"/>
      <c r="C504" s="792"/>
      <c r="D504" s="793"/>
      <c r="E504" s="785"/>
      <c r="F504" s="788"/>
      <c r="G504" s="128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  <c r="AA504" s="129"/>
      <c r="AB504" s="129"/>
      <c r="AC504" s="129"/>
      <c r="AD504" s="129"/>
      <c r="AE504" s="129"/>
      <c r="AF504" s="129"/>
      <c r="AG504" s="129"/>
      <c r="AH504" s="129"/>
      <c r="AI504" s="129"/>
      <c r="AJ504" s="129"/>
      <c r="AK504" s="129"/>
      <c r="AL504" s="129"/>
      <c r="AM504" s="129"/>
      <c r="AN504" s="787"/>
    </row>
    <row r="505" spans="1:40" ht="12.75">
      <c r="A505" s="790"/>
      <c r="B505" s="791"/>
      <c r="C505" s="792"/>
      <c r="D505" s="793"/>
      <c r="E505" s="785"/>
      <c r="F505" s="789"/>
      <c r="G505" s="128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  <c r="AA505" s="129"/>
      <c r="AB505" s="129"/>
      <c r="AC505" s="129"/>
      <c r="AD505" s="129"/>
      <c r="AE505" s="129"/>
      <c r="AF505" s="129"/>
      <c r="AG505" s="129"/>
      <c r="AH505" s="129"/>
      <c r="AI505" s="129"/>
      <c r="AJ505" s="129"/>
      <c r="AK505" s="129"/>
      <c r="AL505" s="129"/>
      <c r="AM505" s="129"/>
      <c r="AN505" s="787"/>
    </row>
    <row r="506" spans="1:40" ht="12.75">
      <c r="A506" s="790"/>
      <c r="B506" s="791"/>
      <c r="C506" s="792"/>
      <c r="D506" s="793"/>
      <c r="E506" s="785"/>
      <c r="F506" s="127"/>
      <c r="G506" s="128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787"/>
    </row>
    <row r="507" spans="1:40" ht="12.75">
      <c r="A507" s="790"/>
      <c r="B507" s="791"/>
      <c r="C507" s="792"/>
      <c r="D507" s="793"/>
      <c r="E507" s="785"/>
      <c r="F507" s="127"/>
      <c r="G507" s="128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787"/>
    </row>
    <row r="508" spans="1:40" ht="12.75">
      <c r="A508" s="790"/>
      <c r="B508" s="791"/>
      <c r="C508" s="792"/>
      <c r="D508" s="793"/>
      <c r="E508" s="785"/>
      <c r="F508" s="127"/>
      <c r="G508" s="128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  <c r="AA508" s="129"/>
      <c r="AB508" s="129"/>
      <c r="AC508" s="129"/>
      <c r="AD508" s="129"/>
      <c r="AE508" s="129"/>
      <c r="AF508" s="129"/>
      <c r="AG508" s="129"/>
      <c r="AH508" s="129"/>
      <c r="AI508" s="129"/>
      <c r="AJ508" s="129"/>
      <c r="AK508" s="129"/>
      <c r="AL508" s="129"/>
      <c r="AM508" s="129"/>
      <c r="AN508" s="786"/>
    </row>
    <row r="509" spans="1:40" ht="12.75">
      <c r="A509" s="790"/>
      <c r="B509" s="791"/>
      <c r="C509" s="792"/>
      <c r="D509" s="793"/>
      <c r="E509" s="785"/>
      <c r="F509" s="788"/>
      <c r="G509" s="128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  <c r="AA509" s="129"/>
      <c r="AB509" s="129"/>
      <c r="AC509" s="129"/>
      <c r="AD509" s="129"/>
      <c r="AE509" s="129"/>
      <c r="AF509" s="129"/>
      <c r="AG509" s="129"/>
      <c r="AH509" s="129"/>
      <c r="AI509" s="129"/>
      <c r="AJ509" s="129"/>
      <c r="AK509" s="129"/>
      <c r="AL509" s="129"/>
      <c r="AM509" s="129"/>
      <c r="AN509" s="787"/>
    </row>
    <row r="510" spans="1:40" ht="12.75">
      <c r="A510" s="790"/>
      <c r="B510" s="791"/>
      <c r="C510" s="792"/>
      <c r="D510" s="793"/>
      <c r="E510" s="785"/>
      <c r="F510" s="789"/>
      <c r="G510" s="128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  <c r="AA510" s="129"/>
      <c r="AB510" s="129"/>
      <c r="AC510" s="129"/>
      <c r="AD510" s="129"/>
      <c r="AE510" s="129"/>
      <c r="AF510" s="129"/>
      <c r="AG510" s="129"/>
      <c r="AH510" s="129"/>
      <c r="AI510" s="129"/>
      <c r="AJ510" s="129"/>
      <c r="AK510" s="129"/>
      <c r="AL510" s="129"/>
      <c r="AM510" s="129"/>
      <c r="AN510" s="787"/>
    </row>
    <row r="511" spans="1:40" ht="12.75">
      <c r="A511" s="790"/>
      <c r="B511" s="791"/>
      <c r="C511" s="792"/>
      <c r="D511" s="793"/>
      <c r="E511" s="785"/>
      <c r="F511" s="127"/>
      <c r="G511" s="128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  <c r="AA511" s="129"/>
      <c r="AB511" s="129"/>
      <c r="AC511" s="129"/>
      <c r="AD511" s="129"/>
      <c r="AE511" s="129"/>
      <c r="AF511" s="129"/>
      <c r="AG511" s="129"/>
      <c r="AH511" s="129"/>
      <c r="AI511" s="129"/>
      <c r="AJ511" s="129"/>
      <c r="AK511" s="129"/>
      <c r="AL511" s="129"/>
      <c r="AM511" s="129"/>
      <c r="AN511" s="787"/>
    </row>
    <row r="512" spans="1:40" ht="12.75">
      <c r="A512" s="790"/>
      <c r="B512" s="791"/>
      <c r="C512" s="792"/>
      <c r="D512" s="793"/>
      <c r="E512" s="785"/>
      <c r="F512" s="788"/>
      <c r="G512" s="128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  <c r="AA512" s="129"/>
      <c r="AB512" s="129"/>
      <c r="AC512" s="129"/>
      <c r="AD512" s="129"/>
      <c r="AE512" s="129"/>
      <c r="AF512" s="129"/>
      <c r="AG512" s="129"/>
      <c r="AH512" s="129"/>
      <c r="AI512" s="129"/>
      <c r="AJ512" s="129"/>
      <c r="AK512" s="129"/>
      <c r="AL512" s="129"/>
      <c r="AM512" s="129"/>
      <c r="AN512" s="787"/>
    </row>
    <row r="513" spans="1:40" ht="12.75">
      <c r="A513" s="790"/>
      <c r="B513" s="791"/>
      <c r="C513" s="792"/>
      <c r="D513" s="793"/>
      <c r="E513" s="785"/>
      <c r="F513" s="789"/>
      <c r="G513" s="128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  <c r="AA513" s="129"/>
      <c r="AB513" s="129"/>
      <c r="AC513" s="129"/>
      <c r="AD513" s="129"/>
      <c r="AE513" s="129"/>
      <c r="AF513" s="129"/>
      <c r="AG513" s="129"/>
      <c r="AH513" s="129"/>
      <c r="AI513" s="129"/>
      <c r="AJ513" s="129"/>
      <c r="AK513" s="129"/>
      <c r="AL513" s="129"/>
      <c r="AM513" s="129"/>
      <c r="AN513" s="787"/>
    </row>
    <row r="514" spans="1:40" ht="12.75">
      <c r="A514" s="790"/>
      <c r="B514" s="791"/>
      <c r="C514" s="792"/>
      <c r="D514" s="793"/>
      <c r="E514" s="785"/>
      <c r="F514" s="127"/>
      <c r="G514" s="128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787"/>
    </row>
    <row r="515" spans="1:40" ht="12.75">
      <c r="A515" s="790"/>
      <c r="B515" s="791"/>
      <c r="C515" s="792"/>
      <c r="D515" s="793"/>
      <c r="E515" s="785"/>
      <c r="F515" s="127"/>
      <c r="G515" s="128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787"/>
    </row>
    <row r="516" spans="1:40" ht="12.75">
      <c r="A516" s="790"/>
      <c r="B516" s="791"/>
      <c r="C516" s="792"/>
      <c r="D516" s="793"/>
      <c r="E516" s="785"/>
      <c r="F516" s="127"/>
      <c r="G516" s="128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  <c r="AA516" s="129"/>
      <c r="AB516" s="129"/>
      <c r="AC516" s="129"/>
      <c r="AD516" s="129"/>
      <c r="AE516" s="129"/>
      <c r="AF516" s="129"/>
      <c r="AG516" s="129"/>
      <c r="AH516" s="129"/>
      <c r="AI516" s="129"/>
      <c r="AJ516" s="129"/>
      <c r="AK516" s="129"/>
      <c r="AL516" s="129"/>
      <c r="AM516" s="129"/>
      <c r="AN516" s="786"/>
    </row>
    <row r="517" spans="1:40" ht="12.75">
      <c r="A517" s="790"/>
      <c r="B517" s="791"/>
      <c r="C517" s="792"/>
      <c r="D517" s="793"/>
      <c r="E517" s="785"/>
      <c r="F517" s="788"/>
      <c r="G517" s="128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  <c r="AA517" s="129"/>
      <c r="AB517" s="129"/>
      <c r="AC517" s="129"/>
      <c r="AD517" s="129"/>
      <c r="AE517" s="129"/>
      <c r="AF517" s="129"/>
      <c r="AG517" s="129"/>
      <c r="AH517" s="129"/>
      <c r="AI517" s="129"/>
      <c r="AJ517" s="129"/>
      <c r="AK517" s="129"/>
      <c r="AL517" s="129"/>
      <c r="AM517" s="129"/>
      <c r="AN517" s="787"/>
    </row>
    <row r="518" spans="1:40" ht="12.75">
      <c r="A518" s="790"/>
      <c r="B518" s="791"/>
      <c r="C518" s="792"/>
      <c r="D518" s="793"/>
      <c r="E518" s="785"/>
      <c r="F518" s="789"/>
      <c r="G518" s="128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  <c r="AA518" s="129"/>
      <c r="AB518" s="129"/>
      <c r="AC518" s="129"/>
      <c r="AD518" s="129"/>
      <c r="AE518" s="129"/>
      <c r="AF518" s="129"/>
      <c r="AG518" s="129"/>
      <c r="AH518" s="129"/>
      <c r="AI518" s="129"/>
      <c r="AJ518" s="129"/>
      <c r="AK518" s="129"/>
      <c r="AL518" s="129"/>
      <c r="AM518" s="129"/>
      <c r="AN518" s="787"/>
    </row>
    <row r="519" spans="1:40" ht="12.75">
      <c r="A519" s="790"/>
      <c r="B519" s="791"/>
      <c r="C519" s="792"/>
      <c r="D519" s="793"/>
      <c r="E519" s="785"/>
      <c r="F519" s="127"/>
      <c r="G519" s="128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  <c r="AA519" s="129"/>
      <c r="AB519" s="129"/>
      <c r="AC519" s="129"/>
      <c r="AD519" s="129"/>
      <c r="AE519" s="129"/>
      <c r="AF519" s="129"/>
      <c r="AG519" s="129"/>
      <c r="AH519" s="129"/>
      <c r="AI519" s="129"/>
      <c r="AJ519" s="129"/>
      <c r="AK519" s="129"/>
      <c r="AL519" s="129"/>
      <c r="AM519" s="129"/>
      <c r="AN519" s="787"/>
    </row>
    <row r="520" spans="1:40" ht="12.75">
      <c r="A520" s="790"/>
      <c r="B520" s="791"/>
      <c r="C520" s="792"/>
      <c r="D520" s="793"/>
      <c r="E520" s="785"/>
      <c r="F520" s="788"/>
      <c r="G520" s="128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  <c r="AA520" s="129"/>
      <c r="AB520" s="129"/>
      <c r="AC520" s="129"/>
      <c r="AD520" s="129"/>
      <c r="AE520" s="129"/>
      <c r="AF520" s="129"/>
      <c r="AG520" s="129"/>
      <c r="AH520" s="129"/>
      <c r="AI520" s="129"/>
      <c r="AJ520" s="129"/>
      <c r="AK520" s="129"/>
      <c r="AL520" s="129"/>
      <c r="AM520" s="129"/>
      <c r="AN520" s="787"/>
    </row>
    <row r="521" spans="1:40" ht="12.75">
      <c r="A521" s="790"/>
      <c r="B521" s="791"/>
      <c r="C521" s="792"/>
      <c r="D521" s="793"/>
      <c r="E521" s="785"/>
      <c r="F521" s="789"/>
      <c r="G521" s="128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  <c r="AA521" s="129"/>
      <c r="AB521" s="129"/>
      <c r="AC521" s="129"/>
      <c r="AD521" s="129"/>
      <c r="AE521" s="129"/>
      <c r="AF521" s="129"/>
      <c r="AG521" s="129"/>
      <c r="AH521" s="129"/>
      <c r="AI521" s="129"/>
      <c r="AJ521" s="129"/>
      <c r="AK521" s="129"/>
      <c r="AL521" s="129"/>
      <c r="AM521" s="129"/>
      <c r="AN521" s="787"/>
    </row>
    <row r="522" spans="1:40" ht="12.75">
      <c r="A522" s="790"/>
      <c r="B522" s="791"/>
      <c r="C522" s="792"/>
      <c r="D522" s="793"/>
      <c r="E522" s="785"/>
      <c r="F522" s="127"/>
      <c r="G522" s="128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787"/>
    </row>
    <row r="523" spans="1:40" ht="12.75">
      <c r="A523" s="790"/>
      <c r="B523" s="791"/>
      <c r="C523" s="792"/>
      <c r="D523" s="793"/>
      <c r="E523" s="785"/>
      <c r="F523" s="127"/>
      <c r="G523" s="128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787"/>
    </row>
  </sheetData>
  <sheetProtection/>
  <mergeCells count="583">
    <mergeCell ref="A2:AN2"/>
    <mergeCell ref="A3:A4"/>
    <mergeCell ref="B3:B4"/>
    <mergeCell ref="C3:C4"/>
    <mergeCell ref="D3:D4"/>
    <mergeCell ref="E3:E4"/>
    <mergeCell ref="F3:F4"/>
    <mergeCell ref="G3:G4"/>
    <mergeCell ref="H3:H4"/>
    <mergeCell ref="I3:AM3"/>
    <mergeCell ref="AN3:AN4"/>
    <mergeCell ref="F9:F10"/>
    <mergeCell ref="C156:C163"/>
    <mergeCell ref="D156:D163"/>
    <mergeCell ref="E156:E159"/>
    <mergeCell ref="AN156:AN163"/>
    <mergeCell ref="F157:F158"/>
    <mergeCell ref="E160:E163"/>
    <mergeCell ref="F160:F161"/>
    <mergeCell ref="E13:E16"/>
    <mergeCell ref="A5:A12"/>
    <mergeCell ref="B5:B12"/>
    <mergeCell ref="C5:C12"/>
    <mergeCell ref="D5:D12"/>
    <mergeCell ref="AN13:AN20"/>
    <mergeCell ref="F14:F15"/>
    <mergeCell ref="E17:E20"/>
    <mergeCell ref="F17:F18"/>
    <mergeCell ref="A21:A28"/>
    <mergeCell ref="B21:B28"/>
    <mergeCell ref="C21:C28"/>
    <mergeCell ref="D21:D28"/>
    <mergeCell ref="AN21:AN28"/>
    <mergeCell ref="F22:F23"/>
    <mergeCell ref="E25:E28"/>
    <mergeCell ref="F25:F26"/>
    <mergeCell ref="E21:E24"/>
    <mergeCell ref="B29:B36"/>
    <mergeCell ref="A156:A163"/>
    <mergeCell ref="B156:B163"/>
    <mergeCell ref="A37:A44"/>
    <mergeCell ref="B37:B44"/>
    <mergeCell ref="A45:A51"/>
    <mergeCell ref="B45:B51"/>
    <mergeCell ref="A60:A67"/>
    <mergeCell ref="B60:B67"/>
    <mergeCell ref="A148:A155"/>
    <mergeCell ref="AN148:AN155"/>
    <mergeCell ref="F149:F150"/>
    <mergeCell ref="E152:E155"/>
    <mergeCell ref="F152:F153"/>
    <mergeCell ref="AN140:AN147"/>
    <mergeCell ref="F141:F142"/>
    <mergeCell ref="C37:C44"/>
    <mergeCell ref="D37:D44"/>
    <mergeCell ref="F41:F42"/>
    <mergeCell ref="E37:E40"/>
    <mergeCell ref="E144:E147"/>
    <mergeCell ref="F144:F145"/>
    <mergeCell ref="C140:C147"/>
    <mergeCell ref="D140:D147"/>
    <mergeCell ref="B148:B155"/>
    <mergeCell ref="C148:C155"/>
    <mergeCell ref="D148:D155"/>
    <mergeCell ref="E140:E143"/>
    <mergeCell ref="E148:E151"/>
    <mergeCell ref="C45:C51"/>
    <mergeCell ref="D45:D51"/>
    <mergeCell ref="A52:A59"/>
    <mergeCell ref="B52:B59"/>
    <mergeCell ref="C52:C59"/>
    <mergeCell ref="D52:D59"/>
    <mergeCell ref="E132:E135"/>
    <mergeCell ref="C60:C67"/>
    <mergeCell ref="D60:D67"/>
    <mergeCell ref="AN132:AN139"/>
    <mergeCell ref="F133:F134"/>
    <mergeCell ref="E136:E139"/>
    <mergeCell ref="F136:F137"/>
    <mergeCell ref="C76:C83"/>
    <mergeCell ref="D76:D83"/>
    <mergeCell ref="F80:F81"/>
    <mergeCell ref="C252:C259"/>
    <mergeCell ref="D252:D259"/>
    <mergeCell ref="E252:E255"/>
    <mergeCell ref="AN252:AN259"/>
    <mergeCell ref="F253:F254"/>
    <mergeCell ref="E256:E259"/>
    <mergeCell ref="F256:F257"/>
    <mergeCell ref="AN396:AN403"/>
    <mergeCell ref="F397:F398"/>
    <mergeCell ref="F400:F401"/>
    <mergeCell ref="D132:D139"/>
    <mergeCell ref="E400:E403"/>
    <mergeCell ref="AN244:AN251"/>
    <mergeCell ref="F245:F246"/>
    <mergeCell ref="E260:E263"/>
    <mergeCell ref="AN260:AN267"/>
    <mergeCell ref="F261:F262"/>
    <mergeCell ref="F405:F406"/>
    <mergeCell ref="F408:F409"/>
    <mergeCell ref="A68:A75"/>
    <mergeCell ref="B68:B75"/>
    <mergeCell ref="E248:E251"/>
    <mergeCell ref="F248:F249"/>
    <mergeCell ref="A132:A139"/>
    <mergeCell ref="B132:B139"/>
    <mergeCell ref="C132:C139"/>
    <mergeCell ref="B252:B259"/>
    <mergeCell ref="A252:A259"/>
    <mergeCell ref="A140:A147"/>
    <mergeCell ref="B140:B147"/>
    <mergeCell ref="A76:A83"/>
    <mergeCell ref="B76:B83"/>
    <mergeCell ref="B116:B123"/>
    <mergeCell ref="A108:A115"/>
    <mergeCell ref="B108:B115"/>
    <mergeCell ref="A100:A107"/>
    <mergeCell ref="B100:B107"/>
    <mergeCell ref="A84:A91"/>
    <mergeCell ref="AN76:AN83"/>
    <mergeCell ref="F77:F78"/>
    <mergeCell ref="E80:E83"/>
    <mergeCell ref="E84:E87"/>
    <mergeCell ref="AN84:AN91"/>
    <mergeCell ref="F85:F86"/>
    <mergeCell ref="E88:E91"/>
    <mergeCell ref="F88:F89"/>
    <mergeCell ref="E76:E79"/>
    <mergeCell ref="E396:E399"/>
    <mergeCell ref="E372:E375"/>
    <mergeCell ref="AN372:AN379"/>
    <mergeCell ref="F373:F374"/>
    <mergeCell ref="E376:E379"/>
    <mergeCell ref="F376:F377"/>
    <mergeCell ref="E380:E383"/>
    <mergeCell ref="AN380:AN387"/>
    <mergeCell ref="F381:F382"/>
    <mergeCell ref="E384:E387"/>
    <mergeCell ref="E244:E247"/>
    <mergeCell ref="B84:B91"/>
    <mergeCell ref="C84:C91"/>
    <mergeCell ref="D84:D91"/>
    <mergeCell ref="C116:C123"/>
    <mergeCell ref="D116:D123"/>
    <mergeCell ref="C108:C115"/>
    <mergeCell ref="D108:D115"/>
    <mergeCell ref="E100:E103"/>
    <mergeCell ref="C100:C107"/>
    <mergeCell ref="A244:A251"/>
    <mergeCell ref="B244:B251"/>
    <mergeCell ref="C244:C251"/>
    <mergeCell ref="D244:D251"/>
    <mergeCell ref="A92:A99"/>
    <mergeCell ref="B92:B99"/>
    <mergeCell ref="A124:A131"/>
    <mergeCell ref="A396:A403"/>
    <mergeCell ref="B396:B403"/>
    <mergeCell ref="A116:A123"/>
    <mergeCell ref="A372:A379"/>
    <mergeCell ref="A164:A171"/>
    <mergeCell ref="A196:A203"/>
    <mergeCell ref="B196:B203"/>
    <mergeCell ref="C396:C403"/>
    <mergeCell ref="D396:D403"/>
    <mergeCell ref="B124:B131"/>
    <mergeCell ref="C124:C131"/>
    <mergeCell ref="D124:D131"/>
    <mergeCell ref="B372:B379"/>
    <mergeCell ref="C372:C379"/>
    <mergeCell ref="D372:D379"/>
    <mergeCell ref="B164:B171"/>
    <mergeCell ref="C164:C171"/>
    <mergeCell ref="E264:E267"/>
    <mergeCell ref="E124:E127"/>
    <mergeCell ref="AN124:AN131"/>
    <mergeCell ref="F125:F126"/>
    <mergeCell ref="E128:E131"/>
    <mergeCell ref="F128:F129"/>
    <mergeCell ref="E164:E167"/>
    <mergeCell ref="AN164:AN171"/>
    <mergeCell ref="F165:F166"/>
    <mergeCell ref="E168:E171"/>
    <mergeCell ref="AN116:AN123"/>
    <mergeCell ref="F117:F118"/>
    <mergeCell ref="E120:E123"/>
    <mergeCell ref="F120:F121"/>
    <mergeCell ref="E116:E119"/>
    <mergeCell ref="D100:D107"/>
    <mergeCell ref="E108:E111"/>
    <mergeCell ref="AN100:AN107"/>
    <mergeCell ref="F101:F102"/>
    <mergeCell ref="E104:E107"/>
    <mergeCell ref="F104:F105"/>
    <mergeCell ref="AN108:AN115"/>
    <mergeCell ref="F109:F110"/>
    <mergeCell ref="E112:E115"/>
    <mergeCell ref="F112:F113"/>
    <mergeCell ref="E5:E8"/>
    <mergeCell ref="AN5:AN12"/>
    <mergeCell ref="F6:F7"/>
    <mergeCell ref="E9:E12"/>
    <mergeCell ref="AN29:AN36"/>
    <mergeCell ref="F30:F31"/>
    <mergeCell ref="E33:E36"/>
    <mergeCell ref="F33:F34"/>
    <mergeCell ref="F48:F49"/>
    <mergeCell ref="E45:E47"/>
    <mergeCell ref="A13:A20"/>
    <mergeCell ref="B13:B20"/>
    <mergeCell ref="C13:C20"/>
    <mergeCell ref="D13:D20"/>
    <mergeCell ref="C29:C36"/>
    <mergeCell ref="D29:D36"/>
    <mergeCell ref="E29:E32"/>
    <mergeCell ref="A29:A36"/>
    <mergeCell ref="AN37:AN44"/>
    <mergeCell ref="F38:F39"/>
    <mergeCell ref="E41:E44"/>
    <mergeCell ref="E52:E55"/>
    <mergeCell ref="AN52:AN59"/>
    <mergeCell ref="F53:F54"/>
    <mergeCell ref="E56:E59"/>
    <mergeCell ref="F56:F57"/>
    <mergeCell ref="AN45:AN51"/>
    <mergeCell ref="E48:E51"/>
    <mergeCell ref="E60:E63"/>
    <mergeCell ref="AN60:AN67"/>
    <mergeCell ref="F61:F62"/>
    <mergeCell ref="E64:E67"/>
    <mergeCell ref="F64:F65"/>
    <mergeCell ref="C68:C75"/>
    <mergeCell ref="D68:D75"/>
    <mergeCell ref="E68:E71"/>
    <mergeCell ref="AN68:AN75"/>
    <mergeCell ref="F69:F70"/>
    <mergeCell ref="E72:E75"/>
    <mergeCell ref="F72:F73"/>
    <mergeCell ref="C92:C99"/>
    <mergeCell ref="D92:D99"/>
    <mergeCell ref="E92:E95"/>
    <mergeCell ref="AN92:AN99"/>
    <mergeCell ref="F93:F94"/>
    <mergeCell ref="E96:E99"/>
    <mergeCell ref="F96:F97"/>
    <mergeCell ref="D164:D171"/>
    <mergeCell ref="F168:F169"/>
    <mergeCell ref="E388:E391"/>
    <mergeCell ref="AN388:AN395"/>
    <mergeCell ref="F389:F390"/>
    <mergeCell ref="E392:E395"/>
    <mergeCell ref="F392:F393"/>
    <mergeCell ref="E172:E175"/>
    <mergeCell ref="AN172:AN179"/>
    <mergeCell ref="F173:F174"/>
    <mergeCell ref="E176:E179"/>
    <mergeCell ref="A388:A395"/>
    <mergeCell ref="B388:B395"/>
    <mergeCell ref="C388:C395"/>
    <mergeCell ref="D388:D395"/>
    <mergeCell ref="A188:A195"/>
    <mergeCell ref="B188:B195"/>
    <mergeCell ref="C188:C195"/>
    <mergeCell ref="D188:D195"/>
    <mergeCell ref="E188:E191"/>
    <mergeCell ref="F176:F177"/>
    <mergeCell ref="A180:A187"/>
    <mergeCell ref="B180:B187"/>
    <mergeCell ref="C180:C187"/>
    <mergeCell ref="D180:D187"/>
    <mergeCell ref="E180:E183"/>
    <mergeCell ref="A172:A179"/>
    <mergeCell ref="B172:B179"/>
    <mergeCell ref="C172:C179"/>
    <mergeCell ref="D172:D179"/>
    <mergeCell ref="AN180:AN187"/>
    <mergeCell ref="F181:F182"/>
    <mergeCell ref="E184:E187"/>
    <mergeCell ref="F184:F185"/>
    <mergeCell ref="AN188:AN195"/>
    <mergeCell ref="F189:F190"/>
    <mergeCell ref="E192:E195"/>
    <mergeCell ref="F192:F193"/>
    <mergeCell ref="C196:C203"/>
    <mergeCell ref="D196:D203"/>
    <mergeCell ref="E196:E199"/>
    <mergeCell ref="AN196:AN203"/>
    <mergeCell ref="F197:F198"/>
    <mergeCell ref="E200:E203"/>
    <mergeCell ref="F200:F201"/>
    <mergeCell ref="A204:A211"/>
    <mergeCell ref="B204:B211"/>
    <mergeCell ref="C204:C211"/>
    <mergeCell ref="D204:D211"/>
    <mergeCell ref="E204:E207"/>
    <mergeCell ref="AN204:AN211"/>
    <mergeCell ref="F205:F206"/>
    <mergeCell ref="E208:E211"/>
    <mergeCell ref="F208:F209"/>
    <mergeCell ref="A212:A219"/>
    <mergeCell ref="B212:B219"/>
    <mergeCell ref="C212:C219"/>
    <mergeCell ref="D212:D219"/>
    <mergeCell ref="E212:E215"/>
    <mergeCell ref="AN212:AN219"/>
    <mergeCell ref="F213:F214"/>
    <mergeCell ref="E216:E219"/>
    <mergeCell ref="F216:F217"/>
    <mergeCell ref="A220:A227"/>
    <mergeCell ref="B220:B227"/>
    <mergeCell ref="C220:C227"/>
    <mergeCell ref="D220:D227"/>
    <mergeCell ref="E220:E223"/>
    <mergeCell ref="AN220:AN227"/>
    <mergeCell ref="F221:F222"/>
    <mergeCell ref="E224:E227"/>
    <mergeCell ref="F224:F225"/>
    <mergeCell ref="A228:A235"/>
    <mergeCell ref="B228:B235"/>
    <mergeCell ref="C228:C235"/>
    <mergeCell ref="D228:D235"/>
    <mergeCell ref="E228:E231"/>
    <mergeCell ref="AN228:AN235"/>
    <mergeCell ref="F229:F230"/>
    <mergeCell ref="E232:E235"/>
    <mergeCell ref="F232:F233"/>
    <mergeCell ref="A236:A243"/>
    <mergeCell ref="B236:B243"/>
    <mergeCell ref="C236:C243"/>
    <mergeCell ref="D236:D243"/>
    <mergeCell ref="E236:E239"/>
    <mergeCell ref="AN236:AN243"/>
    <mergeCell ref="F237:F238"/>
    <mergeCell ref="E240:E243"/>
    <mergeCell ref="F240:F241"/>
    <mergeCell ref="F264:F265"/>
    <mergeCell ref="A268:A275"/>
    <mergeCell ref="B268:B275"/>
    <mergeCell ref="C268:C275"/>
    <mergeCell ref="D268:D275"/>
    <mergeCell ref="E268:E271"/>
    <mergeCell ref="A260:A267"/>
    <mergeCell ref="B260:B267"/>
    <mergeCell ref="C260:C267"/>
    <mergeCell ref="D260:D267"/>
    <mergeCell ref="AN268:AN275"/>
    <mergeCell ref="F269:F270"/>
    <mergeCell ref="E272:E275"/>
    <mergeCell ref="F272:F273"/>
    <mergeCell ref="A276:A283"/>
    <mergeCell ref="B276:B283"/>
    <mergeCell ref="C276:C283"/>
    <mergeCell ref="D276:D283"/>
    <mergeCell ref="E276:E279"/>
    <mergeCell ref="AN276:AN283"/>
    <mergeCell ref="F277:F278"/>
    <mergeCell ref="E280:E283"/>
    <mergeCell ref="F280:F281"/>
    <mergeCell ref="A284:A291"/>
    <mergeCell ref="B284:B291"/>
    <mergeCell ref="C284:C291"/>
    <mergeCell ref="D284:D291"/>
    <mergeCell ref="E284:E287"/>
    <mergeCell ref="AN284:AN291"/>
    <mergeCell ref="F285:F286"/>
    <mergeCell ref="E288:E291"/>
    <mergeCell ref="F288:F289"/>
    <mergeCell ref="A292:A299"/>
    <mergeCell ref="B292:B299"/>
    <mergeCell ref="C292:C299"/>
    <mergeCell ref="D292:D299"/>
    <mergeCell ref="E292:E295"/>
    <mergeCell ref="AN292:AN299"/>
    <mergeCell ref="F293:F294"/>
    <mergeCell ref="E296:E299"/>
    <mergeCell ref="F296:F297"/>
    <mergeCell ref="A300:A307"/>
    <mergeCell ref="B300:B307"/>
    <mergeCell ref="C300:C307"/>
    <mergeCell ref="D300:D307"/>
    <mergeCell ref="E300:E303"/>
    <mergeCell ref="AN300:AN307"/>
    <mergeCell ref="F301:F302"/>
    <mergeCell ref="E304:E307"/>
    <mergeCell ref="F304:F305"/>
    <mergeCell ref="A308:A315"/>
    <mergeCell ref="B308:B315"/>
    <mergeCell ref="C308:C315"/>
    <mergeCell ref="D308:D315"/>
    <mergeCell ref="E308:E311"/>
    <mergeCell ref="AN308:AN315"/>
    <mergeCell ref="F309:F310"/>
    <mergeCell ref="E312:E315"/>
    <mergeCell ref="F312:F313"/>
    <mergeCell ref="F384:F385"/>
    <mergeCell ref="A380:A387"/>
    <mergeCell ref="B380:B387"/>
    <mergeCell ref="C380:C387"/>
    <mergeCell ref="D380:D387"/>
    <mergeCell ref="E364:E367"/>
    <mergeCell ref="AN364:AN371"/>
    <mergeCell ref="F365:F366"/>
    <mergeCell ref="E368:E371"/>
    <mergeCell ref="F368:F369"/>
    <mergeCell ref="A364:A371"/>
    <mergeCell ref="B364:B371"/>
    <mergeCell ref="C364:C371"/>
    <mergeCell ref="D364:D371"/>
    <mergeCell ref="A324:A331"/>
    <mergeCell ref="B324:B331"/>
    <mergeCell ref="C324:C331"/>
    <mergeCell ref="D324:D331"/>
    <mergeCell ref="E324:E327"/>
    <mergeCell ref="AN324:AN331"/>
    <mergeCell ref="F325:F326"/>
    <mergeCell ref="E328:E331"/>
    <mergeCell ref="F328:F329"/>
    <mergeCell ref="A332:A339"/>
    <mergeCell ref="B332:B339"/>
    <mergeCell ref="C332:C339"/>
    <mergeCell ref="D332:D339"/>
    <mergeCell ref="E332:E335"/>
    <mergeCell ref="AN332:AN339"/>
    <mergeCell ref="F333:F334"/>
    <mergeCell ref="E336:E339"/>
    <mergeCell ref="F336:F337"/>
    <mergeCell ref="A340:A347"/>
    <mergeCell ref="B340:B347"/>
    <mergeCell ref="C340:C347"/>
    <mergeCell ref="D340:D347"/>
    <mergeCell ref="E340:E343"/>
    <mergeCell ref="AN340:AN347"/>
    <mergeCell ref="F341:F342"/>
    <mergeCell ref="E344:E347"/>
    <mergeCell ref="F344:F345"/>
    <mergeCell ref="A348:A355"/>
    <mergeCell ref="B348:B355"/>
    <mergeCell ref="C348:C355"/>
    <mergeCell ref="D348:D355"/>
    <mergeCell ref="E348:E351"/>
    <mergeCell ref="AN348:AN355"/>
    <mergeCell ref="F349:F350"/>
    <mergeCell ref="E352:E355"/>
    <mergeCell ref="F352:F353"/>
    <mergeCell ref="A356:A363"/>
    <mergeCell ref="B356:B363"/>
    <mergeCell ref="C356:C363"/>
    <mergeCell ref="D356:D363"/>
    <mergeCell ref="E356:E359"/>
    <mergeCell ref="AN356:AN363"/>
    <mergeCell ref="F357:F358"/>
    <mergeCell ref="E360:E363"/>
    <mergeCell ref="F360:F361"/>
    <mergeCell ref="F412:F413"/>
    <mergeCell ref="F415:F416"/>
    <mergeCell ref="A411:E418"/>
    <mergeCell ref="AN411:AN418"/>
    <mergeCell ref="A420:A427"/>
    <mergeCell ref="B420:B427"/>
    <mergeCell ref="C420:C427"/>
    <mergeCell ref="D420:D427"/>
    <mergeCell ref="E420:E423"/>
    <mergeCell ref="AN420:AN427"/>
    <mergeCell ref="F421:F422"/>
    <mergeCell ref="E424:E427"/>
    <mergeCell ref="F424:F425"/>
    <mergeCell ref="A428:A435"/>
    <mergeCell ref="B428:B435"/>
    <mergeCell ref="C428:C435"/>
    <mergeCell ref="D428:D435"/>
    <mergeCell ref="E428:E431"/>
    <mergeCell ref="AN428:AN435"/>
    <mergeCell ref="F429:F430"/>
    <mergeCell ref="E432:E435"/>
    <mergeCell ref="F432:F433"/>
    <mergeCell ref="A436:A443"/>
    <mergeCell ref="B436:B443"/>
    <mergeCell ref="C436:C443"/>
    <mergeCell ref="D436:D443"/>
    <mergeCell ref="E436:E439"/>
    <mergeCell ref="AN436:AN443"/>
    <mergeCell ref="F437:F438"/>
    <mergeCell ref="E440:E443"/>
    <mergeCell ref="F440:F441"/>
    <mergeCell ref="A444:A451"/>
    <mergeCell ref="B444:B451"/>
    <mergeCell ref="C444:C451"/>
    <mergeCell ref="D444:D451"/>
    <mergeCell ref="E444:E447"/>
    <mergeCell ref="AN444:AN451"/>
    <mergeCell ref="F445:F446"/>
    <mergeCell ref="E448:E451"/>
    <mergeCell ref="F448:F449"/>
    <mergeCell ref="A452:A459"/>
    <mergeCell ref="B452:B459"/>
    <mergeCell ref="C452:C459"/>
    <mergeCell ref="D452:D459"/>
    <mergeCell ref="E452:E455"/>
    <mergeCell ref="AN452:AN459"/>
    <mergeCell ref="F453:F454"/>
    <mergeCell ref="E456:E459"/>
    <mergeCell ref="F456:F457"/>
    <mergeCell ref="A460:A467"/>
    <mergeCell ref="B460:B467"/>
    <mergeCell ref="C460:C467"/>
    <mergeCell ref="D460:D467"/>
    <mergeCell ref="E460:E463"/>
    <mergeCell ref="AN460:AN467"/>
    <mergeCell ref="F461:F462"/>
    <mergeCell ref="E464:E467"/>
    <mergeCell ref="F464:F465"/>
    <mergeCell ref="A468:A475"/>
    <mergeCell ref="B468:B475"/>
    <mergeCell ref="C468:C475"/>
    <mergeCell ref="D468:D475"/>
    <mergeCell ref="E468:E471"/>
    <mergeCell ref="AN468:AN475"/>
    <mergeCell ref="F469:F470"/>
    <mergeCell ref="E472:E475"/>
    <mergeCell ref="F472:F473"/>
    <mergeCell ref="A476:A483"/>
    <mergeCell ref="B476:B483"/>
    <mergeCell ref="C476:C483"/>
    <mergeCell ref="D476:D483"/>
    <mergeCell ref="E476:E479"/>
    <mergeCell ref="AN476:AN483"/>
    <mergeCell ref="F477:F478"/>
    <mergeCell ref="E480:E483"/>
    <mergeCell ref="F480:F481"/>
    <mergeCell ref="A484:A491"/>
    <mergeCell ref="B484:B491"/>
    <mergeCell ref="C484:C491"/>
    <mergeCell ref="D484:D491"/>
    <mergeCell ref="E484:E487"/>
    <mergeCell ref="AN484:AN491"/>
    <mergeCell ref="F485:F486"/>
    <mergeCell ref="E488:E491"/>
    <mergeCell ref="F488:F489"/>
    <mergeCell ref="A492:A499"/>
    <mergeCell ref="B492:B499"/>
    <mergeCell ref="C492:C499"/>
    <mergeCell ref="D492:D499"/>
    <mergeCell ref="E492:E495"/>
    <mergeCell ref="AN492:AN499"/>
    <mergeCell ref="F493:F494"/>
    <mergeCell ref="E496:E499"/>
    <mergeCell ref="F496:F497"/>
    <mergeCell ref="A500:A507"/>
    <mergeCell ref="B500:B507"/>
    <mergeCell ref="C500:C507"/>
    <mergeCell ref="D500:D507"/>
    <mergeCell ref="E500:E503"/>
    <mergeCell ref="AN500:AN507"/>
    <mergeCell ref="F501:F502"/>
    <mergeCell ref="E504:E507"/>
    <mergeCell ref="F504:F505"/>
    <mergeCell ref="A508:A515"/>
    <mergeCell ref="B508:B515"/>
    <mergeCell ref="C508:C515"/>
    <mergeCell ref="D508:D515"/>
    <mergeCell ref="E508:E511"/>
    <mergeCell ref="AN508:AN515"/>
    <mergeCell ref="F509:F510"/>
    <mergeCell ref="E512:E515"/>
    <mergeCell ref="F512:F513"/>
    <mergeCell ref="A516:A523"/>
    <mergeCell ref="B516:B523"/>
    <mergeCell ref="C516:C523"/>
    <mergeCell ref="D516:D523"/>
    <mergeCell ref="E516:E519"/>
    <mergeCell ref="AN516:AN523"/>
    <mergeCell ref="F517:F518"/>
    <mergeCell ref="E520:E523"/>
    <mergeCell ref="F520:F521"/>
    <mergeCell ref="A316:A323"/>
    <mergeCell ref="B316:B323"/>
    <mergeCell ref="C316:C323"/>
    <mergeCell ref="D316:D323"/>
    <mergeCell ref="E316:E319"/>
    <mergeCell ref="AN316:AN323"/>
    <mergeCell ref="F317:F318"/>
    <mergeCell ref="E320:E323"/>
    <mergeCell ref="F320:F321"/>
  </mergeCells>
  <printOptions/>
  <pageMargins left="0.23" right="0.23" top="0.53" bottom="0.5" header="0.5" footer="0.33"/>
  <pageSetup horizontalDpi="600" verticalDpi="600" orientation="landscape" paperSize="9" scale="95" r:id="rId1"/>
  <headerFooter alignWithMargins="0">
    <oddFooter>&amp;C&amp;8&amp;P</oddFooter>
  </headerFooter>
  <rowBreaks count="3" manualBreakCount="3">
    <brk id="36" max="39" man="1"/>
    <brk id="235" max="39" man="1"/>
    <brk id="267" max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28"/>
  <sheetViews>
    <sheetView workbookViewId="0" topLeftCell="A1">
      <pane xSplit="4" ySplit="5" topLeftCell="E24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R1" sqref="R1"/>
    </sheetView>
  </sheetViews>
  <sheetFormatPr defaultColWidth="9.140625" defaultRowHeight="12.75"/>
  <cols>
    <col min="1" max="1" width="4.28125" style="49" customWidth="1"/>
    <col min="2" max="2" width="21.8515625" style="49" customWidth="1"/>
    <col min="3" max="3" width="8.421875" style="49" customWidth="1"/>
    <col min="4" max="4" width="11.57421875" style="50" customWidth="1"/>
    <col min="5" max="5" width="9.00390625" style="51" customWidth="1"/>
    <col min="6" max="6" width="10.28125" style="49" customWidth="1"/>
    <col min="7" max="7" width="13.00390625" style="49" customWidth="1"/>
    <col min="8" max="8" width="8.421875" style="49" customWidth="1"/>
    <col min="9" max="9" width="9.7109375" style="49" customWidth="1"/>
    <col min="10" max="10" width="9.57421875" style="49" customWidth="1"/>
    <col min="11" max="11" width="9.28125" style="49" customWidth="1"/>
    <col min="12" max="12" width="9.8515625" style="49" customWidth="1"/>
    <col min="13" max="14" width="9.57421875" style="49" bestFit="1" customWidth="1"/>
    <col min="15" max="15" width="9.00390625" style="49" customWidth="1"/>
    <col min="16" max="16" width="9.57421875" style="49" bestFit="1" customWidth="1"/>
    <col min="17" max="17" width="0" style="49" hidden="1" customWidth="1"/>
    <col min="18" max="18" width="10.00390625" style="49" customWidth="1"/>
    <col min="19" max="16384" width="9.140625" style="49" customWidth="1"/>
  </cols>
  <sheetData>
    <row r="1" ht="27" customHeight="1">
      <c r="R1" s="3" t="s">
        <v>67</v>
      </c>
    </row>
    <row r="2" ht="12.75" hidden="1">
      <c r="A2" s="52" t="s">
        <v>68</v>
      </c>
    </row>
    <row r="3" spans="2:18" ht="25.5" customHeight="1" thickBot="1">
      <c r="B3" s="864" t="s">
        <v>69</v>
      </c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</row>
    <row r="4" spans="1:18" s="51" customFormat="1" ht="16.5" customHeight="1" thickBot="1">
      <c r="A4" s="855" t="s">
        <v>70</v>
      </c>
      <c r="B4" s="852" t="s">
        <v>3</v>
      </c>
      <c r="C4" s="852" t="s">
        <v>4</v>
      </c>
      <c r="D4" s="856" t="s">
        <v>5</v>
      </c>
      <c r="E4" s="852" t="s">
        <v>6</v>
      </c>
      <c r="F4" s="852" t="s">
        <v>7</v>
      </c>
      <c r="G4" s="852" t="s">
        <v>8</v>
      </c>
      <c r="H4" s="858" t="s">
        <v>9</v>
      </c>
      <c r="I4" s="865" t="s">
        <v>10</v>
      </c>
      <c r="J4" s="866"/>
      <c r="K4" s="866"/>
      <c r="L4" s="866"/>
      <c r="M4" s="866"/>
      <c r="N4" s="866"/>
      <c r="O4" s="866"/>
      <c r="P4" s="867"/>
      <c r="Q4" s="53"/>
      <c r="R4" s="852" t="s">
        <v>11</v>
      </c>
    </row>
    <row r="5" spans="1:18" s="51" customFormat="1" ht="28.5" customHeight="1" thickBot="1">
      <c r="A5" s="853"/>
      <c r="B5" s="854"/>
      <c r="C5" s="853"/>
      <c r="D5" s="857"/>
      <c r="E5" s="853"/>
      <c r="F5" s="853"/>
      <c r="G5" s="854"/>
      <c r="H5" s="859"/>
      <c r="I5" s="54">
        <v>2011</v>
      </c>
      <c r="J5" s="55">
        <v>2012</v>
      </c>
      <c r="K5" s="55">
        <v>2013</v>
      </c>
      <c r="L5" s="55">
        <v>2014</v>
      </c>
      <c r="M5" s="55">
        <v>2015</v>
      </c>
      <c r="N5" s="55">
        <v>2016</v>
      </c>
      <c r="O5" s="55">
        <v>2017</v>
      </c>
      <c r="P5" s="55">
        <v>2018</v>
      </c>
      <c r="Q5" s="56">
        <v>2019</v>
      </c>
      <c r="R5" s="852"/>
    </row>
    <row r="6" spans="1:18" s="64" customFormat="1" ht="12.75">
      <c r="A6" s="823">
        <v>1</v>
      </c>
      <c r="B6" s="826" t="s">
        <v>71</v>
      </c>
      <c r="C6" s="57">
        <v>60004</v>
      </c>
      <c r="D6" s="832" t="s">
        <v>72</v>
      </c>
      <c r="E6" s="816"/>
      <c r="F6" s="58" t="s">
        <v>14</v>
      </c>
      <c r="G6" s="59" t="s">
        <v>15</v>
      </c>
      <c r="H6" s="60"/>
      <c r="I6" s="61">
        <v>139826904.62</v>
      </c>
      <c r="J6" s="62">
        <v>147818590.76</v>
      </c>
      <c r="K6" s="62">
        <v>154126699</v>
      </c>
      <c r="L6" s="62">
        <v>160706902.32</v>
      </c>
      <c r="M6" s="62">
        <v>166065594.95</v>
      </c>
      <c r="N6" s="62">
        <v>172708218.66</v>
      </c>
      <c r="O6" s="62">
        <v>179617661.91</v>
      </c>
      <c r="P6" s="62">
        <v>186801051.01</v>
      </c>
      <c r="Q6" s="63"/>
      <c r="R6" s="818">
        <f>SUM(J6:Q6)</f>
        <v>1167844718.61</v>
      </c>
    </row>
    <row r="7" spans="1:18" s="64" customFormat="1" ht="12.75">
      <c r="A7" s="824"/>
      <c r="B7" s="827"/>
      <c r="C7" s="65"/>
      <c r="D7" s="833"/>
      <c r="E7" s="817"/>
      <c r="F7" s="66">
        <f>SUM(H10:Q10)</f>
        <v>1307671623.23</v>
      </c>
      <c r="G7" s="67" t="s">
        <v>16</v>
      </c>
      <c r="H7" s="68"/>
      <c r="I7" s="69"/>
      <c r="J7" s="70"/>
      <c r="K7" s="70"/>
      <c r="L7" s="70"/>
      <c r="M7" s="70"/>
      <c r="N7" s="70"/>
      <c r="O7" s="70"/>
      <c r="P7" s="70"/>
      <c r="Q7" s="71"/>
      <c r="R7" s="819"/>
    </row>
    <row r="8" spans="1:18" s="64" customFormat="1" ht="12.75">
      <c r="A8" s="824"/>
      <c r="B8" s="827"/>
      <c r="C8" s="65"/>
      <c r="D8" s="833"/>
      <c r="E8" s="851"/>
      <c r="F8" s="66" t="s">
        <v>18</v>
      </c>
      <c r="G8" s="67" t="s">
        <v>23</v>
      </c>
      <c r="H8" s="68"/>
      <c r="I8" s="69"/>
      <c r="J8" s="70"/>
      <c r="K8" s="70"/>
      <c r="L8" s="70"/>
      <c r="M8" s="70"/>
      <c r="N8" s="70"/>
      <c r="O8" s="70"/>
      <c r="P8" s="70"/>
      <c r="Q8" s="71"/>
      <c r="R8" s="819"/>
    </row>
    <row r="9" spans="1:18" s="64" customFormat="1" ht="12.75">
      <c r="A9" s="824"/>
      <c r="B9" s="827"/>
      <c r="C9" s="65"/>
      <c r="D9" s="833"/>
      <c r="E9" s="821" t="s">
        <v>73</v>
      </c>
      <c r="F9" s="66">
        <f>SUM(H11:Q11)</f>
        <v>0</v>
      </c>
      <c r="G9" s="67" t="s">
        <v>24</v>
      </c>
      <c r="H9" s="68"/>
      <c r="I9" s="69"/>
      <c r="J9" s="70"/>
      <c r="K9" s="70"/>
      <c r="L9" s="70"/>
      <c r="M9" s="70"/>
      <c r="N9" s="70"/>
      <c r="O9" s="70"/>
      <c r="P9" s="70"/>
      <c r="Q9" s="71"/>
      <c r="R9" s="819"/>
    </row>
    <row r="10" spans="1:18" s="64" customFormat="1" ht="12.75">
      <c r="A10" s="824"/>
      <c r="B10" s="827"/>
      <c r="C10" s="65"/>
      <c r="D10" s="833"/>
      <c r="E10" s="817"/>
      <c r="F10" s="66" t="s">
        <v>22</v>
      </c>
      <c r="G10" s="67" t="s">
        <v>25</v>
      </c>
      <c r="H10" s="72">
        <f aca="true" t="shared" si="0" ref="H10:Q10">H6+H8</f>
        <v>0</v>
      </c>
      <c r="I10" s="73">
        <f t="shared" si="0"/>
        <v>139826904.62</v>
      </c>
      <c r="J10" s="73">
        <f t="shared" si="0"/>
        <v>147818590.76</v>
      </c>
      <c r="K10" s="73">
        <f t="shared" si="0"/>
        <v>154126699</v>
      </c>
      <c r="L10" s="73">
        <f t="shared" si="0"/>
        <v>160706902.32</v>
      </c>
      <c r="M10" s="73">
        <f t="shared" si="0"/>
        <v>166065594.95</v>
      </c>
      <c r="N10" s="73">
        <f t="shared" si="0"/>
        <v>172708218.66</v>
      </c>
      <c r="O10" s="73">
        <f t="shared" si="0"/>
        <v>179617661.91</v>
      </c>
      <c r="P10" s="73">
        <f t="shared" si="0"/>
        <v>186801051.01</v>
      </c>
      <c r="Q10" s="74">
        <f t="shared" si="0"/>
        <v>0</v>
      </c>
      <c r="R10" s="819"/>
    </row>
    <row r="11" spans="1:18" s="64" customFormat="1" ht="13.5" thickBot="1">
      <c r="A11" s="824"/>
      <c r="B11" s="827"/>
      <c r="C11" s="65"/>
      <c r="D11" s="833"/>
      <c r="E11" s="817"/>
      <c r="F11" s="75">
        <f>F7+F9</f>
        <v>1307671623.23</v>
      </c>
      <c r="G11" s="76" t="s">
        <v>26</v>
      </c>
      <c r="H11" s="77">
        <f aca="true" t="shared" si="1" ref="H11:Q11">H7+H9</f>
        <v>0</v>
      </c>
      <c r="I11" s="78">
        <f t="shared" si="1"/>
        <v>0</v>
      </c>
      <c r="J11" s="79">
        <f t="shared" si="1"/>
        <v>0</v>
      </c>
      <c r="K11" s="79">
        <f t="shared" si="1"/>
        <v>0</v>
      </c>
      <c r="L11" s="79">
        <f t="shared" si="1"/>
        <v>0</v>
      </c>
      <c r="M11" s="79">
        <f t="shared" si="1"/>
        <v>0</v>
      </c>
      <c r="N11" s="79">
        <f t="shared" si="1"/>
        <v>0</v>
      </c>
      <c r="O11" s="79">
        <f t="shared" si="1"/>
        <v>0</v>
      </c>
      <c r="P11" s="79">
        <f t="shared" si="1"/>
        <v>0</v>
      </c>
      <c r="Q11" s="80">
        <f t="shared" si="1"/>
        <v>0</v>
      </c>
      <c r="R11" s="820"/>
    </row>
    <row r="12" spans="1:18" s="64" customFormat="1" ht="12.75">
      <c r="A12" s="823">
        <v>2</v>
      </c>
      <c r="B12" s="826" t="s">
        <v>74</v>
      </c>
      <c r="C12" s="57">
        <v>60004</v>
      </c>
      <c r="D12" s="832" t="s">
        <v>72</v>
      </c>
      <c r="E12" s="816"/>
      <c r="F12" s="58" t="s">
        <v>14</v>
      </c>
      <c r="G12" s="59" t="s">
        <v>15</v>
      </c>
      <c r="H12" s="60"/>
      <c r="I12" s="81">
        <v>649124</v>
      </c>
      <c r="J12" s="81">
        <v>573092</v>
      </c>
      <c r="K12" s="81">
        <v>573092</v>
      </c>
      <c r="L12" s="82"/>
      <c r="M12" s="82"/>
      <c r="N12" s="82"/>
      <c r="O12" s="82"/>
      <c r="P12" s="82"/>
      <c r="Q12" s="83"/>
      <c r="R12" s="818">
        <f>SUM(J12:Q12)</f>
        <v>1146184</v>
      </c>
    </row>
    <row r="13" spans="1:18" s="64" customFormat="1" ht="12.75">
      <c r="A13" s="824"/>
      <c r="B13" s="827"/>
      <c r="C13" s="65"/>
      <c r="D13" s="833"/>
      <c r="E13" s="817"/>
      <c r="F13" s="66">
        <f>SUM(H16:Q16)</f>
        <v>1795308</v>
      </c>
      <c r="G13" s="67" t="s">
        <v>16</v>
      </c>
      <c r="H13" s="68"/>
      <c r="I13" s="69"/>
      <c r="J13" s="70"/>
      <c r="K13" s="70"/>
      <c r="L13" s="70"/>
      <c r="M13" s="70"/>
      <c r="N13" s="70"/>
      <c r="O13" s="70"/>
      <c r="P13" s="70"/>
      <c r="Q13" s="71"/>
      <c r="R13" s="819"/>
    </row>
    <row r="14" spans="1:18" s="64" customFormat="1" ht="12.75">
      <c r="A14" s="824"/>
      <c r="B14" s="827"/>
      <c r="C14" s="65"/>
      <c r="D14" s="833"/>
      <c r="E14" s="851"/>
      <c r="F14" s="66" t="s">
        <v>18</v>
      </c>
      <c r="G14" s="67" t="s">
        <v>23</v>
      </c>
      <c r="H14" s="68"/>
      <c r="I14" s="69"/>
      <c r="J14" s="70"/>
      <c r="K14" s="70"/>
      <c r="L14" s="70"/>
      <c r="M14" s="70"/>
      <c r="N14" s="70"/>
      <c r="O14" s="70"/>
      <c r="P14" s="70"/>
      <c r="Q14" s="71"/>
      <c r="R14" s="819"/>
    </row>
    <row r="15" spans="1:18" s="64" customFormat="1" ht="12.75">
      <c r="A15" s="824"/>
      <c r="B15" s="827"/>
      <c r="C15" s="65"/>
      <c r="D15" s="833"/>
      <c r="E15" s="821" t="s">
        <v>75</v>
      </c>
      <c r="F15" s="66">
        <f>SUM(H17:Q17)</f>
        <v>0</v>
      </c>
      <c r="G15" s="67" t="s">
        <v>24</v>
      </c>
      <c r="H15" s="68"/>
      <c r="I15" s="69"/>
      <c r="J15" s="70"/>
      <c r="K15" s="70"/>
      <c r="L15" s="70"/>
      <c r="M15" s="70"/>
      <c r="N15" s="70"/>
      <c r="O15" s="70"/>
      <c r="P15" s="70"/>
      <c r="Q15" s="71"/>
      <c r="R15" s="819"/>
    </row>
    <row r="16" spans="1:18" s="64" customFormat="1" ht="12.75">
      <c r="A16" s="824"/>
      <c r="B16" s="827"/>
      <c r="C16" s="65"/>
      <c r="D16" s="833"/>
      <c r="E16" s="817"/>
      <c r="F16" s="66" t="s">
        <v>22</v>
      </c>
      <c r="G16" s="67" t="s">
        <v>25</v>
      </c>
      <c r="H16" s="72">
        <f aca="true" t="shared" si="2" ref="H16:Q16">H12+H14</f>
        <v>0</v>
      </c>
      <c r="I16" s="84">
        <f t="shared" si="2"/>
        <v>649124</v>
      </c>
      <c r="J16" s="73">
        <f t="shared" si="2"/>
        <v>573092</v>
      </c>
      <c r="K16" s="73">
        <f t="shared" si="2"/>
        <v>573092</v>
      </c>
      <c r="L16" s="73">
        <f t="shared" si="2"/>
        <v>0</v>
      </c>
      <c r="M16" s="73">
        <f t="shared" si="2"/>
        <v>0</v>
      </c>
      <c r="N16" s="73">
        <f t="shared" si="2"/>
        <v>0</v>
      </c>
      <c r="O16" s="73">
        <f t="shared" si="2"/>
        <v>0</v>
      </c>
      <c r="P16" s="73">
        <f t="shared" si="2"/>
        <v>0</v>
      </c>
      <c r="Q16" s="74">
        <f t="shared" si="2"/>
        <v>0</v>
      </c>
      <c r="R16" s="819"/>
    </row>
    <row r="17" spans="1:18" s="64" customFormat="1" ht="13.5" thickBot="1">
      <c r="A17" s="825"/>
      <c r="B17" s="828"/>
      <c r="C17" s="65"/>
      <c r="D17" s="833"/>
      <c r="E17" s="822"/>
      <c r="F17" s="75">
        <f>F13+F15</f>
        <v>1795308</v>
      </c>
      <c r="G17" s="85" t="s">
        <v>26</v>
      </c>
      <c r="H17" s="77">
        <f aca="true" t="shared" si="3" ref="H17:Q17">H13+H15</f>
        <v>0</v>
      </c>
      <c r="I17" s="86">
        <f t="shared" si="3"/>
        <v>0</v>
      </c>
      <c r="J17" s="87">
        <f t="shared" si="3"/>
        <v>0</v>
      </c>
      <c r="K17" s="87">
        <f t="shared" si="3"/>
        <v>0</v>
      </c>
      <c r="L17" s="87">
        <f t="shared" si="3"/>
        <v>0</v>
      </c>
      <c r="M17" s="87">
        <f t="shared" si="3"/>
        <v>0</v>
      </c>
      <c r="N17" s="87">
        <f t="shared" si="3"/>
        <v>0</v>
      </c>
      <c r="O17" s="87">
        <f t="shared" si="3"/>
        <v>0</v>
      </c>
      <c r="P17" s="87">
        <f t="shared" si="3"/>
        <v>0</v>
      </c>
      <c r="Q17" s="88">
        <f t="shared" si="3"/>
        <v>0</v>
      </c>
      <c r="R17" s="820"/>
    </row>
    <row r="18" spans="1:18" s="64" customFormat="1" ht="12.75">
      <c r="A18" s="823">
        <v>3</v>
      </c>
      <c r="B18" s="835" t="s">
        <v>76</v>
      </c>
      <c r="C18" s="57">
        <v>60004</v>
      </c>
      <c r="D18" s="832" t="s">
        <v>72</v>
      </c>
      <c r="E18" s="816"/>
      <c r="F18" s="58" t="s">
        <v>14</v>
      </c>
      <c r="G18" s="89" t="s">
        <v>15</v>
      </c>
      <c r="H18" s="60"/>
      <c r="I18" s="61">
        <v>174216</v>
      </c>
      <c r="J18" s="61">
        <v>108640</v>
      </c>
      <c r="K18" s="61">
        <v>108640</v>
      </c>
      <c r="L18" s="62"/>
      <c r="M18" s="62"/>
      <c r="N18" s="62"/>
      <c r="O18" s="62"/>
      <c r="P18" s="62"/>
      <c r="Q18" s="63"/>
      <c r="R18" s="818">
        <f>SUM(J18:Q18)</f>
        <v>217280</v>
      </c>
    </row>
    <row r="19" spans="1:18" s="64" customFormat="1" ht="12.75">
      <c r="A19" s="824"/>
      <c r="B19" s="827"/>
      <c r="C19" s="65"/>
      <c r="D19" s="833"/>
      <c r="E19" s="817"/>
      <c r="F19" s="66">
        <f>SUM(H22:Q22)</f>
        <v>391496</v>
      </c>
      <c r="G19" s="67" t="s">
        <v>16</v>
      </c>
      <c r="H19" s="68"/>
      <c r="I19" s="69"/>
      <c r="J19" s="70"/>
      <c r="K19" s="70"/>
      <c r="L19" s="70"/>
      <c r="M19" s="70"/>
      <c r="N19" s="70"/>
      <c r="O19" s="70"/>
      <c r="P19" s="70"/>
      <c r="Q19" s="71"/>
      <c r="R19" s="819"/>
    </row>
    <row r="20" spans="1:18" s="64" customFormat="1" ht="12.75">
      <c r="A20" s="824"/>
      <c r="B20" s="827"/>
      <c r="C20" s="65"/>
      <c r="D20" s="833"/>
      <c r="E20" s="851"/>
      <c r="F20" s="66" t="s">
        <v>18</v>
      </c>
      <c r="G20" s="67" t="s">
        <v>23</v>
      </c>
      <c r="H20" s="68"/>
      <c r="I20" s="69"/>
      <c r="J20" s="70"/>
      <c r="K20" s="70"/>
      <c r="L20" s="70"/>
      <c r="M20" s="70"/>
      <c r="N20" s="70"/>
      <c r="O20" s="70"/>
      <c r="P20" s="70"/>
      <c r="Q20" s="71"/>
      <c r="R20" s="819"/>
    </row>
    <row r="21" spans="1:18" s="64" customFormat="1" ht="12.75">
      <c r="A21" s="824"/>
      <c r="B21" s="827"/>
      <c r="C21" s="65"/>
      <c r="D21" s="833"/>
      <c r="E21" s="821" t="s">
        <v>75</v>
      </c>
      <c r="F21" s="66">
        <f>SUM(H23:Q23)</f>
        <v>0</v>
      </c>
      <c r="G21" s="67" t="s">
        <v>24</v>
      </c>
      <c r="H21" s="68"/>
      <c r="I21" s="69"/>
      <c r="J21" s="70"/>
      <c r="K21" s="70"/>
      <c r="L21" s="70"/>
      <c r="M21" s="70"/>
      <c r="N21" s="70"/>
      <c r="O21" s="70"/>
      <c r="P21" s="70"/>
      <c r="Q21" s="71"/>
      <c r="R21" s="819"/>
    </row>
    <row r="22" spans="1:18" s="64" customFormat="1" ht="12.75">
      <c r="A22" s="824"/>
      <c r="B22" s="827"/>
      <c r="C22" s="65"/>
      <c r="D22" s="833"/>
      <c r="E22" s="817"/>
      <c r="F22" s="66" t="s">
        <v>22</v>
      </c>
      <c r="G22" s="67" t="s">
        <v>25</v>
      </c>
      <c r="H22" s="72">
        <f aca="true" t="shared" si="4" ref="H22:Q22">H18+H20</f>
        <v>0</v>
      </c>
      <c r="I22" s="84">
        <f t="shared" si="4"/>
        <v>174216</v>
      </c>
      <c r="J22" s="73">
        <f t="shared" si="4"/>
        <v>108640</v>
      </c>
      <c r="K22" s="73">
        <f t="shared" si="4"/>
        <v>108640</v>
      </c>
      <c r="L22" s="73">
        <f t="shared" si="4"/>
        <v>0</v>
      </c>
      <c r="M22" s="73">
        <f t="shared" si="4"/>
        <v>0</v>
      </c>
      <c r="N22" s="73">
        <f t="shared" si="4"/>
        <v>0</v>
      </c>
      <c r="O22" s="73">
        <f t="shared" si="4"/>
        <v>0</v>
      </c>
      <c r="P22" s="73">
        <f t="shared" si="4"/>
        <v>0</v>
      </c>
      <c r="Q22" s="74">
        <f t="shared" si="4"/>
        <v>0</v>
      </c>
      <c r="R22" s="819"/>
    </row>
    <row r="23" spans="1:18" s="64" customFormat="1" ht="13.5" thickBot="1">
      <c r="A23" s="824"/>
      <c r="B23" s="827"/>
      <c r="C23" s="65"/>
      <c r="D23" s="833"/>
      <c r="E23" s="817"/>
      <c r="F23" s="75">
        <f>F19+F21</f>
        <v>391496</v>
      </c>
      <c r="G23" s="76" t="s">
        <v>26</v>
      </c>
      <c r="H23" s="77">
        <f aca="true" t="shared" si="5" ref="H23:Q23">H19+H21</f>
        <v>0</v>
      </c>
      <c r="I23" s="78">
        <f t="shared" si="5"/>
        <v>0</v>
      </c>
      <c r="J23" s="79">
        <f t="shared" si="5"/>
        <v>0</v>
      </c>
      <c r="K23" s="79">
        <f t="shared" si="5"/>
        <v>0</v>
      </c>
      <c r="L23" s="79">
        <f t="shared" si="5"/>
        <v>0</v>
      </c>
      <c r="M23" s="79">
        <f t="shared" si="5"/>
        <v>0</v>
      </c>
      <c r="N23" s="79">
        <f t="shared" si="5"/>
        <v>0</v>
      </c>
      <c r="O23" s="79">
        <f t="shared" si="5"/>
        <v>0</v>
      </c>
      <c r="P23" s="79">
        <f t="shared" si="5"/>
        <v>0</v>
      </c>
      <c r="Q23" s="80">
        <f t="shared" si="5"/>
        <v>0</v>
      </c>
      <c r="R23" s="820"/>
    </row>
    <row r="24" spans="1:18" s="64" customFormat="1" ht="12.75">
      <c r="A24" s="823">
        <v>4</v>
      </c>
      <c r="B24" s="826" t="s">
        <v>77</v>
      </c>
      <c r="C24" s="57">
        <v>60004</v>
      </c>
      <c r="D24" s="832" t="s">
        <v>72</v>
      </c>
      <c r="E24" s="816"/>
      <c r="F24" s="58" t="s">
        <v>14</v>
      </c>
      <c r="G24" s="59" t="s">
        <v>15</v>
      </c>
      <c r="H24" s="60"/>
      <c r="I24" s="81">
        <v>376334</v>
      </c>
      <c r="J24" s="81">
        <v>329374</v>
      </c>
      <c r="K24" s="81">
        <v>13888</v>
      </c>
      <c r="L24" s="82"/>
      <c r="M24" s="82"/>
      <c r="N24" s="82"/>
      <c r="O24" s="82"/>
      <c r="P24" s="82"/>
      <c r="Q24" s="83"/>
      <c r="R24" s="818">
        <f>SUM(J24:Q24)</f>
        <v>343262</v>
      </c>
    </row>
    <row r="25" spans="1:18" s="64" customFormat="1" ht="12.75">
      <c r="A25" s="824"/>
      <c r="B25" s="827"/>
      <c r="C25" s="65"/>
      <c r="D25" s="833"/>
      <c r="E25" s="817"/>
      <c r="F25" s="66">
        <f>SUM(H28:Q28)</f>
        <v>719596</v>
      </c>
      <c r="G25" s="67" t="s">
        <v>16</v>
      </c>
      <c r="H25" s="68"/>
      <c r="I25" s="69"/>
      <c r="J25" s="70"/>
      <c r="K25" s="70"/>
      <c r="L25" s="70"/>
      <c r="M25" s="70"/>
      <c r="N25" s="70"/>
      <c r="O25" s="70"/>
      <c r="P25" s="70"/>
      <c r="Q25" s="71"/>
      <c r="R25" s="819"/>
    </row>
    <row r="26" spans="1:18" s="64" customFormat="1" ht="12.75">
      <c r="A26" s="824"/>
      <c r="B26" s="827"/>
      <c r="C26" s="65"/>
      <c r="D26" s="833"/>
      <c r="E26" s="851"/>
      <c r="F26" s="66" t="s">
        <v>18</v>
      </c>
      <c r="G26" s="67" t="s">
        <v>23</v>
      </c>
      <c r="H26" s="68"/>
      <c r="I26" s="69"/>
      <c r="J26" s="70"/>
      <c r="K26" s="70"/>
      <c r="L26" s="70"/>
      <c r="M26" s="70"/>
      <c r="N26" s="70"/>
      <c r="O26" s="70"/>
      <c r="P26" s="70"/>
      <c r="Q26" s="71"/>
      <c r="R26" s="819"/>
    </row>
    <row r="27" spans="1:18" s="64" customFormat="1" ht="12.75">
      <c r="A27" s="824"/>
      <c r="B27" s="827"/>
      <c r="C27" s="65"/>
      <c r="D27" s="833"/>
      <c r="E27" s="821" t="s">
        <v>75</v>
      </c>
      <c r="F27" s="66">
        <f>SUM(H29:Q29)</f>
        <v>0</v>
      </c>
      <c r="G27" s="67" t="s">
        <v>24</v>
      </c>
      <c r="H27" s="68"/>
      <c r="I27" s="69"/>
      <c r="J27" s="70"/>
      <c r="K27" s="70"/>
      <c r="L27" s="70"/>
      <c r="M27" s="70"/>
      <c r="N27" s="70"/>
      <c r="O27" s="70"/>
      <c r="P27" s="70"/>
      <c r="Q27" s="71"/>
      <c r="R27" s="819"/>
    </row>
    <row r="28" spans="1:18" s="64" customFormat="1" ht="12.75">
      <c r="A28" s="824"/>
      <c r="B28" s="827"/>
      <c r="C28" s="65"/>
      <c r="D28" s="833"/>
      <c r="E28" s="817"/>
      <c r="F28" s="66" t="s">
        <v>22</v>
      </c>
      <c r="G28" s="67" t="s">
        <v>25</v>
      </c>
      <c r="H28" s="72">
        <f aca="true" t="shared" si="6" ref="H28:Q28">H24+H26</f>
        <v>0</v>
      </c>
      <c r="I28" s="84">
        <f t="shared" si="6"/>
        <v>376334</v>
      </c>
      <c r="J28" s="73">
        <f t="shared" si="6"/>
        <v>329374</v>
      </c>
      <c r="K28" s="73">
        <f t="shared" si="6"/>
        <v>13888</v>
      </c>
      <c r="L28" s="73">
        <f t="shared" si="6"/>
        <v>0</v>
      </c>
      <c r="M28" s="73">
        <f t="shared" si="6"/>
        <v>0</v>
      </c>
      <c r="N28" s="73">
        <f t="shared" si="6"/>
        <v>0</v>
      </c>
      <c r="O28" s="73">
        <f t="shared" si="6"/>
        <v>0</v>
      </c>
      <c r="P28" s="73">
        <f t="shared" si="6"/>
        <v>0</v>
      </c>
      <c r="Q28" s="74">
        <f t="shared" si="6"/>
        <v>0</v>
      </c>
      <c r="R28" s="819"/>
    </row>
    <row r="29" spans="1:18" s="64" customFormat="1" ht="13.5" thickBot="1">
      <c r="A29" s="825"/>
      <c r="B29" s="828"/>
      <c r="C29" s="65"/>
      <c r="D29" s="833"/>
      <c r="E29" s="822"/>
      <c r="F29" s="75">
        <f>F25+F27</f>
        <v>719596</v>
      </c>
      <c r="G29" s="85" t="s">
        <v>26</v>
      </c>
      <c r="H29" s="77">
        <f aca="true" t="shared" si="7" ref="H29:Q29">H25+H27</f>
        <v>0</v>
      </c>
      <c r="I29" s="86">
        <f t="shared" si="7"/>
        <v>0</v>
      </c>
      <c r="J29" s="87">
        <f t="shared" si="7"/>
        <v>0</v>
      </c>
      <c r="K29" s="87">
        <f t="shared" si="7"/>
        <v>0</v>
      </c>
      <c r="L29" s="87">
        <f t="shared" si="7"/>
        <v>0</v>
      </c>
      <c r="M29" s="87">
        <f t="shared" si="7"/>
        <v>0</v>
      </c>
      <c r="N29" s="87">
        <f t="shared" si="7"/>
        <v>0</v>
      </c>
      <c r="O29" s="87">
        <f t="shared" si="7"/>
        <v>0</v>
      </c>
      <c r="P29" s="87">
        <f t="shared" si="7"/>
        <v>0</v>
      </c>
      <c r="Q29" s="88">
        <f t="shared" si="7"/>
        <v>0</v>
      </c>
      <c r="R29" s="820"/>
    </row>
    <row r="30" spans="1:18" s="64" customFormat="1" ht="12.75">
      <c r="A30" s="823">
        <v>5</v>
      </c>
      <c r="B30" s="835" t="s">
        <v>78</v>
      </c>
      <c r="C30" s="57">
        <v>60004</v>
      </c>
      <c r="D30" s="832" t="s">
        <v>72</v>
      </c>
      <c r="E30" s="816"/>
      <c r="F30" s="58" t="s">
        <v>14</v>
      </c>
      <c r="G30" s="89" t="s">
        <v>15</v>
      </c>
      <c r="H30" s="60"/>
      <c r="I30" s="61">
        <v>4707906</v>
      </c>
      <c r="J30" s="61">
        <v>5007906</v>
      </c>
      <c r="K30" s="62"/>
      <c r="L30" s="62"/>
      <c r="M30" s="62"/>
      <c r="N30" s="62"/>
      <c r="O30" s="62"/>
      <c r="P30" s="62"/>
      <c r="Q30" s="63"/>
      <c r="R30" s="818">
        <f>SUM(J30:Q30)</f>
        <v>5007906</v>
      </c>
    </row>
    <row r="31" spans="1:18" s="64" customFormat="1" ht="12.75">
      <c r="A31" s="824"/>
      <c r="B31" s="827"/>
      <c r="C31" s="65"/>
      <c r="D31" s="833"/>
      <c r="E31" s="817"/>
      <c r="F31" s="66">
        <f>SUM(H34:Q34)</f>
        <v>9715812</v>
      </c>
      <c r="G31" s="67" t="s">
        <v>16</v>
      </c>
      <c r="H31" s="68"/>
      <c r="I31" s="69"/>
      <c r="J31" s="70"/>
      <c r="K31" s="70"/>
      <c r="L31" s="70"/>
      <c r="M31" s="70"/>
      <c r="N31" s="70"/>
      <c r="O31" s="70"/>
      <c r="P31" s="70"/>
      <c r="Q31" s="71"/>
      <c r="R31" s="819"/>
    </row>
    <row r="32" spans="1:18" s="64" customFormat="1" ht="12.75">
      <c r="A32" s="824"/>
      <c r="B32" s="827"/>
      <c r="C32" s="65"/>
      <c r="D32" s="833"/>
      <c r="E32" s="851"/>
      <c r="F32" s="66" t="s">
        <v>18</v>
      </c>
      <c r="G32" s="67" t="s">
        <v>23</v>
      </c>
      <c r="H32" s="68"/>
      <c r="I32" s="69"/>
      <c r="J32" s="70"/>
      <c r="K32" s="70"/>
      <c r="L32" s="70"/>
      <c r="M32" s="70"/>
      <c r="N32" s="70"/>
      <c r="O32" s="70"/>
      <c r="P32" s="70"/>
      <c r="Q32" s="71"/>
      <c r="R32" s="819"/>
    </row>
    <row r="33" spans="1:18" s="64" customFormat="1" ht="12.75">
      <c r="A33" s="824"/>
      <c r="B33" s="827"/>
      <c r="C33" s="65"/>
      <c r="D33" s="833"/>
      <c r="E33" s="821" t="s">
        <v>79</v>
      </c>
      <c r="F33" s="66">
        <f>SUM(H35:Q35)</f>
        <v>0</v>
      </c>
      <c r="G33" s="67" t="s">
        <v>24</v>
      </c>
      <c r="H33" s="68"/>
      <c r="I33" s="69"/>
      <c r="J33" s="70"/>
      <c r="K33" s="70"/>
      <c r="L33" s="70"/>
      <c r="M33" s="70"/>
      <c r="N33" s="70"/>
      <c r="O33" s="70"/>
      <c r="P33" s="70"/>
      <c r="Q33" s="71"/>
      <c r="R33" s="819"/>
    </row>
    <row r="34" spans="1:18" s="64" customFormat="1" ht="12.75">
      <c r="A34" s="824"/>
      <c r="B34" s="827"/>
      <c r="C34" s="65"/>
      <c r="D34" s="833"/>
      <c r="E34" s="817"/>
      <c r="F34" s="66" t="s">
        <v>22</v>
      </c>
      <c r="G34" s="67" t="s">
        <v>25</v>
      </c>
      <c r="H34" s="72">
        <f aca="true" t="shared" si="8" ref="H34:Q34">H30+H32</f>
        <v>0</v>
      </c>
      <c r="I34" s="84">
        <f t="shared" si="8"/>
        <v>4707906</v>
      </c>
      <c r="J34" s="73">
        <f t="shared" si="8"/>
        <v>5007906</v>
      </c>
      <c r="K34" s="73">
        <f t="shared" si="8"/>
        <v>0</v>
      </c>
      <c r="L34" s="73">
        <f t="shared" si="8"/>
        <v>0</v>
      </c>
      <c r="M34" s="73">
        <f t="shared" si="8"/>
        <v>0</v>
      </c>
      <c r="N34" s="73">
        <f t="shared" si="8"/>
        <v>0</v>
      </c>
      <c r="O34" s="73">
        <f t="shared" si="8"/>
        <v>0</v>
      </c>
      <c r="P34" s="73">
        <f t="shared" si="8"/>
        <v>0</v>
      </c>
      <c r="Q34" s="74">
        <f t="shared" si="8"/>
        <v>0</v>
      </c>
      <c r="R34" s="819"/>
    </row>
    <row r="35" spans="1:18" s="64" customFormat="1" ht="13.5" thickBot="1">
      <c r="A35" s="824"/>
      <c r="B35" s="827"/>
      <c r="C35" s="65"/>
      <c r="D35" s="833"/>
      <c r="E35" s="817"/>
      <c r="F35" s="75">
        <f>F31+F33</f>
        <v>9715812</v>
      </c>
      <c r="G35" s="76" t="s">
        <v>26</v>
      </c>
      <c r="H35" s="77">
        <f aca="true" t="shared" si="9" ref="H35:Q35">H31+H33</f>
        <v>0</v>
      </c>
      <c r="I35" s="78">
        <f t="shared" si="9"/>
        <v>0</v>
      </c>
      <c r="J35" s="79">
        <f t="shared" si="9"/>
        <v>0</v>
      </c>
      <c r="K35" s="79">
        <f t="shared" si="9"/>
        <v>0</v>
      </c>
      <c r="L35" s="79">
        <f t="shared" si="9"/>
        <v>0</v>
      </c>
      <c r="M35" s="79">
        <f t="shared" si="9"/>
        <v>0</v>
      </c>
      <c r="N35" s="79">
        <f t="shared" si="9"/>
        <v>0</v>
      </c>
      <c r="O35" s="79">
        <f t="shared" si="9"/>
        <v>0</v>
      </c>
      <c r="P35" s="79">
        <f t="shared" si="9"/>
        <v>0</v>
      </c>
      <c r="Q35" s="80">
        <f t="shared" si="9"/>
        <v>0</v>
      </c>
      <c r="R35" s="820"/>
    </row>
    <row r="36" spans="1:18" s="95" customFormat="1" ht="12" customHeight="1">
      <c r="A36" s="823">
        <v>6</v>
      </c>
      <c r="B36" s="840" t="s">
        <v>80</v>
      </c>
      <c r="C36" s="843">
        <v>60015</v>
      </c>
      <c r="D36" s="846" t="s">
        <v>81</v>
      </c>
      <c r="E36" s="837">
        <v>2008</v>
      </c>
      <c r="F36" s="90" t="s">
        <v>14</v>
      </c>
      <c r="G36" s="59" t="s">
        <v>15</v>
      </c>
      <c r="H36" s="91">
        <v>72788</v>
      </c>
      <c r="I36" s="92">
        <v>9806</v>
      </c>
      <c r="J36" s="93">
        <v>3904</v>
      </c>
      <c r="K36" s="93">
        <v>3904</v>
      </c>
      <c r="L36" s="93"/>
      <c r="M36" s="93"/>
      <c r="N36" s="93"/>
      <c r="O36" s="93"/>
      <c r="P36" s="93"/>
      <c r="Q36" s="94"/>
      <c r="R36" s="818">
        <f>SUM(J36:Q36)</f>
        <v>7808</v>
      </c>
    </row>
    <row r="37" spans="1:18" s="95" customFormat="1" ht="12" customHeight="1">
      <c r="A37" s="824"/>
      <c r="B37" s="841"/>
      <c r="C37" s="844"/>
      <c r="D37" s="847"/>
      <c r="E37" s="838"/>
      <c r="F37" s="96">
        <f>SUM(H36:Q36)</f>
        <v>90402</v>
      </c>
      <c r="G37" s="67" t="s">
        <v>16</v>
      </c>
      <c r="H37" s="97"/>
      <c r="I37" s="98"/>
      <c r="J37" s="99"/>
      <c r="K37" s="99"/>
      <c r="L37" s="99"/>
      <c r="M37" s="99"/>
      <c r="N37" s="99"/>
      <c r="O37" s="99"/>
      <c r="P37" s="99"/>
      <c r="Q37" s="100"/>
      <c r="R37" s="819"/>
    </row>
    <row r="38" spans="1:18" s="95" customFormat="1" ht="12" customHeight="1">
      <c r="A38" s="824"/>
      <c r="B38" s="841"/>
      <c r="C38" s="844"/>
      <c r="D38" s="847"/>
      <c r="E38" s="839"/>
      <c r="F38" s="96" t="s">
        <v>18</v>
      </c>
      <c r="G38" s="67" t="s">
        <v>23</v>
      </c>
      <c r="H38" s="97"/>
      <c r="I38" s="98"/>
      <c r="J38" s="99"/>
      <c r="K38" s="99"/>
      <c r="L38" s="99"/>
      <c r="M38" s="99"/>
      <c r="N38" s="99"/>
      <c r="O38" s="99"/>
      <c r="P38" s="99"/>
      <c r="Q38" s="100"/>
      <c r="R38" s="819"/>
    </row>
    <row r="39" spans="1:18" s="95" customFormat="1" ht="12" customHeight="1">
      <c r="A39" s="824"/>
      <c r="B39" s="841"/>
      <c r="C39" s="844"/>
      <c r="D39" s="847"/>
      <c r="E39" s="849">
        <v>2013</v>
      </c>
      <c r="F39" s="96">
        <f>SUM(H38:Q38)</f>
        <v>0</v>
      </c>
      <c r="G39" s="67" t="s">
        <v>24</v>
      </c>
      <c r="H39" s="97"/>
      <c r="I39" s="98"/>
      <c r="J39" s="99"/>
      <c r="K39" s="99"/>
      <c r="L39" s="99"/>
      <c r="M39" s="99"/>
      <c r="N39" s="99"/>
      <c r="O39" s="99"/>
      <c r="P39" s="99"/>
      <c r="Q39" s="100"/>
      <c r="R39" s="819"/>
    </row>
    <row r="40" spans="1:18" s="95" customFormat="1" ht="12" customHeight="1">
      <c r="A40" s="824"/>
      <c r="B40" s="841"/>
      <c r="C40" s="844"/>
      <c r="D40" s="847"/>
      <c r="E40" s="838"/>
      <c r="F40" s="96" t="s">
        <v>82</v>
      </c>
      <c r="G40" s="67" t="s">
        <v>25</v>
      </c>
      <c r="H40" s="97">
        <f aca="true" t="shared" si="10" ref="H40:Q40">H36+H38</f>
        <v>72788</v>
      </c>
      <c r="I40" s="98">
        <f t="shared" si="10"/>
        <v>9806</v>
      </c>
      <c r="J40" s="99">
        <f t="shared" si="10"/>
        <v>3904</v>
      </c>
      <c r="K40" s="99">
        <f t="shared" si="10"/>
        <v>3904</v>
      </c>
      <c r="L40" s="99">
        <f t="shared" si="10"/>
        <v>0</v>
      </c>
      <c r="M40" s="99">
        <f t="shared" si="10"/>
        <v>0</v>
      </c>
      <c r="N40" s="99">
        <f t="shared" si="10"/>
        <v>0</v>
      </c>
      <c r="O40" s="99">
        <f t="shared" si="10"/>
        <v>0</v>
      </c>
      <c r="P40" s="99">
        <f t="shared" si="10"/>
        <v>0</v>
      </c>
      <c r="Q40" s="100">
        <f t="shared" si="10"/>
        <v>0</v>
      </c>
      <c r="R40" s="819"/>
    </row>
    <row r="41" spans="1:18" s="95" customFormat="1" ht="12" customHeight="1" thickBot="1">
      <c r="A41" s="825"/>
      <c r="B41" s="842"/>
      <c r="C41" s="845"/>
      <c r="D41" s="848"/>
      <c r="E41" s="850"/>
      <c r="F41" s="101">
        <f>F37+F39</f>
        <v>90402</v>
      </c>
      <c r="G41" s="85" t="s">
        <v>26</v>
      </c>
      <c r="H41" s="102">
        <f aca="true" t="shared" si="11" ref="H41:Q41">H37+H39</f>
        <v>0</v>
      </c>
      <c r="I41" s="103">
        <f t="shared" si="11"/>
        <v>0</v>
      </c>
      <c r="J41" s="104">
        <f t="shared" si="11"/>
        <v>0</v>
      </c>
      <c r="K41" s="104">
        <f t="shared" si="11"/>
        <v>0</v>
      </c>
      <c r="L41" s="104">
        <f t="shared" si="11"/>
        <v>0</v>
      </c>
      <c r="M41" s="104">
        <f t="shared" si="11"/>
        <v>0</v>
      </c>
      <c r="N41" s="104">
        <f t="shared" si="11"/>
        <v>0</v>
      </c>
      <c r="O41" s="104">
        <f t="shared" si="11"/>
        <v>0</v>
      </c>
      <c r="P41" s="104">
        <f t="shared" si="11"/>
        <v>0</v>
      </c>
      <c r="Q41" s="105">
        <f t="shared" si="11"/>
        <v>0</v>
      </c>
      <c r="R41" s="820"/>
    </row>
    <row r="42" spans="1:18" s="95" customFormat="1" ht="12" customHeight="1">
      <c r="A42" s="823">
        <v>7</v>
      </c>
      <c r="B42" s="840" t="s">
        <v>83</v>
      </c>
      <c r="C42" s="843">
        <v>60015</v>
      </c>
      <c r="D42" s="846" t="s">
        <v>81</v>
      </c>
      <c r="E42" s="837">
        <v>2010</v>
      </c>
      <c r="F42" s="90" t="s">
        <v>14</v>
      </c>
      <c r="G42" s="59" t="s">
        <v>15</v>
      </c>
      <c r="H42" s="91">
        <v>9820</v>
      </c>
      <c r="I42" s="92">
        <v>240000</v>
      </c>
      <c r="J42" s="93">
        <v>240000</v>
      </c>
      <c r="K42" s="93">
        <v>149000</v>
      </c>
      <c r="L42" s="93"/>
      <c r="M42" s="93"/>
      <c r="N42" s="93"/>
      <c r="O42" s="93"/>
      <c r="P42" s="93"/>
      <c r="Q42" s="94"/>
      <c r="R42" s="818">
        <f>SUM(J42:Q42)</f>
        <v>389000</v>
      </c>
    </row>
    <row r="43" spans="1:18" s="95" customFormat="1" ht="12" customHeight="1">
      <c r="A43" s="824"/>
      <c r="B43" s="841"/>
      <c r="C43" s="844"/>
      <c r="D43" s="847"/>
      <c r="E43" s="838"/>
      <c r="F43" s="96">
        <f>SUM(H42:Q42)</f>
        <v>638820</v>
      </c>
      <c r="G43" s="67" t="s">
        <v>16</v>
      </c>
      <c r="H43" s="97"/>
      <c r="I43" s="98"/>
      <c r="J43" s="99"/>
      <c r="K43" s="99"/>
      <c r="L43" s="99"/>
      <c r="M43" s="99"/>
      <c r="N43" s="99"/>
      <c r="O43" s="99"/>
      <c r="P43" s="99"/>
      <c r="Q43" s="100"/>
      <c r="R43" s="819"/>
    </row>
    <row r="44" spans="1:18" s="95" customFormat="1" ht="12" customHeight="1">
      <c r="A44" s="824"/>
      <c r="B44" s="841"/>
      <c r="C44" s="844"/>
      <c r="D44" s="847"/>
      <c r="E44" s="839"/>
      <c r="F44" s="96" t="s">
        <v>18</v>
      </c>
      <c r="G44" s="67" t="s">
        <v>23</v>
      </c>
      <c r="H44" s="97"/>
      <c r="I44" s="98"/>
      <c r="J44" s="99"/>
      <c r="K44" s="99"/>
      <c r="L44" s="99"/>
      <c r="M44" s="99"/>
      <c r="N44" s="99"/>
      <c r="O44" s="99"/>
      <c r="P44" s="99"/>
      <c r="Q44" s="100"/>
      <c r="R44" s="819"/>
    </row>
    <row r="45" spans="1:18" s="95" customFormat="1" ht="12" customHeight="1">
      <c r="A45" s="824"/>
      <c r="B45" s="841"/>
      <c r="C45" s="844"/>
      <c r="D45" s="847"/>
      <c r="E45" s="849">
        <v>2013</v>
      </c>
      <c r="F45" s="96">
        <f>SUM(H44:Q44)</f>
        <v>0</v>
      </c>
      <c r="G45" s="67" t="s">
        <v>24</v>
      </c>
      <c r="H45" s="97"/>
      <c r="I45" s="98"/>
      <c r="J45" s="99"/>
      <c r="K45" s="99"/>
      <c r="L45" s="99"/>
      <c r="M45" s="99"/>
      <c r="N45" s="99"/>
      <c r="O45" s="99"/>
      <c r="P45" s="99"/>
      <c r="Q45" s="100"/>
      <c r="R45" s="819"/>
    </row>
    <row r="46" spans="1:18" s="95" customFormat="1" ht="12" customHeight="1">
      <c r="A46" s="824"/>
      <c r="B46" s="841"/>
      <c r="C46" s="844"/>
      <c r="D46" s="847"/>
      <c r="E46" s="838"/>
      <c r="F46" s="96" t="s">
        <v>82</v>
      </c>
      <c r="G46" s="67" t="s">
        <v>25</v>
      </c>
      <c r="H46" s="97">
        <f aca="true" t="shared" si="12" ref="H46:Q46">H42+H44</f>
        <v>9820</v>
      </c>
      <c r="I46" s="98">
        <f t="shared" si="12"/>
        <v>240000</v>
      </c>
      <c r="J46" s="99">
        <f t="shared" si="12"/>
        <v>240000</v>
      </c>
      <c r="K46" s="99">
        <f t="shared" si="12"/>
        <v>149000</v>
      </c>
      <c r="L46" s="99">
        <f t="shared" si="12"/>
        <v>0</v>
      </c>
      <c r="M46" s="99">
        <f t="shared" si="12"/>
        <v>0</v>
      </c>
      <c r="N46" s="99">
        <f t="shared" si="12"/>
        <v>0</v>
      </c>
      <c r="O46" s="99">
        <f t="shared" si="12"/>
        <v>0</v>
      </c>
      <c r="P46" s="99">
        <f t="shared" si="12"/>
        <v>0</v>
      </c>
      <c r="Q46" s="100">
        <f t="shared" si="12"/>
        <v>0</v>
      </c>
      <c r="R46" s="819"/>
    </row>
    <row r="47" spans="1:18" s="95" customFormat="1" ht="14.25" customHeight="1" thickBot="1">
      <c r="A47" s="825"/>
      <c r="B47" s="842"/>
      <c r="C47" s="845"/>
      <c r="D47" s="848"/>
      <c r="E47" s="850"/>
      <c r="F47" s="101">
        <f>F43+F45</f>
        <v>638820</v>
      </c>
      <c r="G47" s="85" t="s">
        <v>26</v>
      </c>
      <c r="H47" s="102">
        <f aca="true" t="shared" si="13" ref="H47:Q47">H43+H45</f>
        <v>0</v>
      </c>
      <c r="I47" s="103">
        <f t="shared" si="13"/>
        <v>0</v>
      </c>
      <c r="J47" s="104">
        <f t="shared" si="13"/>
        <v>0</v>
      </c>
      <c r="K47" s="104">
        <f t="shared" si="13"/>
        <v>0</v>
      </c>
      <c r="L47" s="104">
        <f t="shared" si="13"/>
        <v>0</v>
      </c>
      <c r="M47" s="104">
        <f t="shared" si="13"/>
        <v>0</v>
      </c>
      <c r="N47" s="104">
        <f t="shared" si="13"/>
        <v>0</v>
      </c>
      <c r="O47" s="104">
        <f t="shared" si="13"/>
        <v>0</v>
      </c>
      <c r="P47" s="104">
        <f t="shared" si="13"/>
        <v>0</v>
      </c>
      <c r="Q47" s="105">
        <f t="shared" si="13"/>
        <v>0</v>
      </c>
      <c r="R47" s="820"/>
    </row>
    <row r="48" spans="1:18" s="95" customFormat="1" ht="12" customHeight="1">
      <c r="A48" s="823">
        <v>8</v>
      </c>
      <c r="B48" s="840" t="s">
        <v>84</v>
      </c>
      <c r="C48" s="843">
        <v>60015</v>
      </c>
      <c r="D48" s="846" t="s">
        <v>81</v>
      </c>
      <c r="E48" s="837">
        <v>2008</v>
      </c>
      <c r="F48" s="90" t="s">
        <v>14</v>
      </c>
      <c r="G48" s="59" t="s">
        <v>15</v>
      </c>
      <c r="H48" s="91">
        <v>317993</v>
      </c>
      <c r="I48" s="92">
        <v>270000</v>
      </c>
      <c r="J48" s="93">
        <v>10585</v>
      </c>
      <c r="K48" s="93"/>
      <c r="L48" s="93"/>
      <c r="M48" s="93"/>
      <c r="N48" s="93"/>
      <c r="O48" s="93"/>
      <c r="P48" s="93"/>
      <c r="Q48" s="94"/>
      <c r="R48" s="818">
        <f>SUM(J48:Q48)</f>
        <v>10585</v>
      </c>
    </row>
    <row r="49" spans="1:18" s="95" customFormat="1" ht="12" customHeight="1">
      <c r="A49" s="824"/>
      <c r="B49" s="841"/>
      <c r="C49" s="844"/>
      <c r="D49" s="847"/>
      <c r="E49" s="838"/>
      <c r="F49" s="96">
        <f>SUM(H48:Q48)</f>
        <v>598578</v>
      </c>
      <c r="G49" s="67" t="s">
        <v>16</v>
      </c>
      <c r="H49" s="97"/>
      <c r="I49" s="98"/>
      <c r="J49" s="99"/>
      <c r="K49" s="99"/>
      <c r="L49" s="99"/>
      <c r="M49" s="99"/>
      <c r="N49" s="99"/>
      <c r="O49" s="99"/>
      <c r="P49" s="99"/>
      <c r="Q49" s="100"/>
      <c r="R49" s="819"/>
    </row>
    <row r="50" spans="1:18" s="95" customFormat="1" ht="12" customHeight="1">
      <c r="A50" s="824"/>
      <c r="B50" s="841"/>
      <c r="C50" s="844"/>
      <c r="D50" s="847"/>
      <c r="E50" s="839"/>
      <c r="F50" s="96" t="s">
        <v>18</v>
      </c>
      <c r="G50" s="67" t="s">
        <v>23</v>
      </c>
      <c r="H50" s="97"/>
      <c r="I50" s="98"/>
      <c r="J50" s="99"/>
      <c r="K50" s="99"/>
      <c r="L50" s="99"/>
      <c r="M50" s="99"/>
      <c r="N50" s="99"/>
      <c r="O50" s="99"/>
      <c r="P50" s="99"/>
      <c r="Q50" s="100"/>
      <c r="R50" s="819"/>
    </row>
    <row r="51" spans="1:18" s="95" customFormat="1" ht="12" customHeight="1">
      <c r="A51" s="824"/>
      <c r="B51" s="841"/>
      <c r="C51" s="844"/>
      <c r="D51" s="847"/>
      <c r="E51" s="849">
        <v>2012</v>
      </c>
      <c r="F51" s="96">
        <f>SUM(H50:Q50)</f>
        <v>0</v>
      </c>
      <c r="G51" s="67" t="s">
        <v>24</v>
      </c>
      <c r="H51" s="97"/>
      <c r="I51" s="98"/>
      <c r="J51" s="99"/>
      <c r="K51" s="99"/>
      <c r="L51" s="99"/>
      <c r="M51" s="99"/>
      <c r="N51" s="99"/>
      <c r="O51" s="99"/>
      <c r="P51" s="99"/>
      <c r="Q51" s="100"/>
      <c r="R51" s="819"/>
    </row>
    <row r="52" spans="1:18" s="95" customFormat="1" ht="12" customHeight="1">
      <c r="A52" s="824"/>
      <c r="B52" s="841"/>
      <c r="C52" s="844"/>
      <c r="D52" s="847"/>
      <c r="E52" s="838"/>
      <c r="F52" s="96" t="s">
        <v>82</v>
      </c>
      <c r="G52" s="67" t="s">
        <v>25</v>
      </c>
      <c r="H52" s="97">
        <f aca="true" t="shared" si="14" ref="H52:Q52">H48+H50</f>
        <v>317993</v>
      </c>
      <c r="I52" s="98">
        <f t="shared" si="14"/>
        <v>270000</v>
      </c>
      <c r="J52" s="99">
        <f t="shared" si="14"/>
        <v>10585</v>
      </c>
      <c r="K52" s="99">
        <f t="shared" si="14"/>
        <v>0</v>
      </c>
      <c r="L52" s="99">
        <f t="shared" si="14"/>
        <v>0</v>
      </c>
      <c r="M52" s="99">
        <f t="shared" si="14"/>
        <v>0</v>
      </c>
      <c r="N52" s="99">
        <f t="shared" si="14"/>
        <v>0</v>
      </c>
      <c r="O52" s="99">
        <f t="shared" si="14"/>
        <v>0</v>
      </c>
      <c r="P52" s="99">
        <f t="shared" si="14"/>
        <v>0</v>
      </c>
      <c r="Q52" s="100">
        <f t="shared" si="14"/>
        <v>0</v>
      </c>
      <c r="R52" s="819"/>
    </row>
    <row r="53" spans="1:18" s="95" customFormat="1" ht="12" customHeight="1" thickBot="1">
      <c r="A53" s="825"/>
      <c r="B53" s="842"/>
      <c r="C53" s="845"/>
      <c r="D53" s="848"/>
      <c r="E53" s="850"/>
      <c r="F53" s="101">
        <f>F49+F51</f>
        <v>598578</v>
      </c>
      <c r="G53" s="85" t="s">
        <v>26</v>
      </c>
      <c r="H53" s="102">
        <f aca="true" t="shared" si="15" ref="H53:Q53">H49+H51</f>
        <v>0</v>
      </c>
      <c r="I53" s="103">
        <f t="shared" si="15"/>
        <v>0</v>
      </c>
      <c r="J53" s="104">
        <f t="shared" si="15"/>
        <v>0</v>
      </c>
      <c r="K53" s="104">
        <f t="shared" si="15"/>
        <v>0</v>
      </c>
      <c r="L53" s="104">
        <f t="shared" si="15"/>
        <v>0</v>
      </c>
      <c r="M53" s="104">
        <f t="shared" si="15"/>
        <v>0</v>
      </c>
      <c r="N53" s="104">
        <f t="shared" si="15"/>
        <v>0</v>
      </c>
      <c r="O53" s="104">
        <f t="shared" si="15"/>
        <v>0</v>
      </c>
      <c r="P53" s="104">
        <f t="shared" si="15"/>
        <v>0</v>
      </c>
      <c r="Q53" s="105">
        <f t="shared" si="15"/>
        <v>0</v>
      </c>
      <c r="R53" s="820"/>
    </row>
    <row r="54" spans="1:18" s="95" customFormat="1" ht="12" customHeight="1">
      <c r="A54" s="823">
        <v>9</v>
      </c>
      <c r="B54" s="840" t="s">
        <v>85</v>
      </c>
      <c r="C54" s="843">
        <v>60015</v>
      </c>
      <c r="D54" s="846" t="s">
        <v>81</v>
      </c>
      <c r="E54" s="837">
        <v>2008</v>
      </c>
      <c r="F54" s="90" t="s">
        <v>14</v>
      </c>
      <c r="G54" s="59" t="s">
        <v>15</v>
      </c>
      <c r="H54" s="91">
        <v>1320547</v>
      </c>
      <c r="I54" s="92">
        <v>842000</v>
      </c>
      <c r="J54" s="93">
        <v>71201</v>
      </c>
      <c r="K54" s="93"/>
      <c r="L54" s="93"/>
      <c r="M54" s="93"/>
      <c r="N54" s="93"/>
      <c r="O54" s="93"/>
      <c r="P54" s="93"/>
      <c r="Q54" s="94"/>
      <c r="R54" s="818">
        <f>SUM(J54:Q54)</f>
        <v>71201</v>
      </c>
    </row>
    <row r="55" spans="1:18" s="95" customFormat="1" ht="12" customHeight="1">
      <c r="A55" s="824"/>
      <c r="B55" s="841"/>
      <c r="C55" s="844"/>
      <c r="D55" s="847"/>
      <c r="E55" s="838"/>
      <c r="F55" s="96">
        <f>SUM(H54:Q54)</f>
        <v>2233748</v>
      </c>
      <c r="G55" s="67" t="s">
        <v>16</v>
      </c>
      <c r="H55" s="97"/>
      <c r="I55" s="98"/>
      <c r="J55" s="99"/>
      <c r="K55" s="99"/>
      <c r="L55" s="99"/>
      <c r="M55" s="99"/>
      <c r="N55" s="99"/>
      <c r="O55" s="99"/>
      <c r="P55" s="99"/>
      <c r="Q55" s="100"/>
      <c r="R55" s="819"/>
    </row>
    <row r="56" spans="1:18" s="95" customFormat="1" ht="12" customHeight="1">
      <c r="A56" s="824"/>
      <c r="B56" s="841"/>
      <c r="C56" s="844"/>
      <c r="D56" s="847"/>
      <c r="E56" s="839"/>
      <c r="F56" s="96" t="s">
        <v>18</v>
      </c>
      <c r="G56" s="67" t="s">
        <v>23</v>
      </c>
      <c r="H56" s="97"/>
      <c r="I56" s="98"/>
      <c r="J56" s="99"/>
      <c r="K56" s="99"/>
      <c r="L56" s="99"/>
      <c r="M56" s="99"/>
      <c r="N56" s="99"/>
      <c r="O56" s="99"/>
      <c r="P56" s="99"/>
      <c r="Q56" s="100"/>
      <c r="R56" s="819"/>
    </row>
    <row r="57" spans="1:18" s="95" customFormat="1" ht="12" customHeight="1">
      <c r="A57" s="824"/>
      <c r="B57" s="841"/>
      <c r="C57" s="844"/>
      <c r="D57" s="847"/>
      <c r="E57" s="849">
        <v>2012</v>
      </c>
      <c r="F57" s="96">
        <f>SUM(H56:Q56)</f>
        <v>0</v>
      </c>
      <c r="G57" s="67" t="s">
        <v>24</v>
      </c>
      <c r="H57" s="97"/>
      <c r="I57" s="98"/>
      <c r="J57" s="99"/>
      <c r="K57" s="99"/>
      <c r="L57" s="99"/>
      <c r="M57" s="99"/>
      <c r="N57" s="99"/>
      <c r="O57" s="99"/>
      <c r="P57" s="99"/>
      <c r="Q57" s="100"/>
      <c r="R57" s="819"/>
    </row>
    <row r="58" spans="1:18" s="95" customFormat="1" ht="11.25">
      <c r="A58" s="824"/>
      <c r="B58" s="841"/>
      <c r="C58" s="844"/>
      <c r="D58" s="847"/>
      <c r="E58" s="838"/>
      <c r="F58" s="96" t="s">
        <v>82</v>
      </c>
      <c r="G58" s="67" t="s">
        <v>25</v>
      </c>
      <c r="H58" s="97">
        <f aca="true" t="shared" si="16" ref="H58:Q58">H54+H56</f>
        <v>1320547</v>
      </c>
      <c r="I58" s="98">
        <f t="shared" si="16"/>
        <v>842000</v>
      </c>
      <c r="J58" s="99">
        <f t="shared" si="16"/>
        <v>71201</v>
      </c>
      <c r="K58" s="99">
        <f t="shared" si="16"/>
        <v>0</v>
      </c>
      <c r="L58" s="99">
        <f t="shared" si="16"/>
        <v>0</v>
      </c>
      <c r="M58" s="99">
        <f t="shared" si="16"/>
        <v>0</v>
      </c>
      <c r="N58" s="99">
        <f t="shared" si="16"/>
        <v>0</v>
      </c>
      <c r="O58" s="99">
        <f t="shared" si="16"/>
        <v>0</v>
      </c>
      <c r="P58" s="99">
        <f t="shared" si="16"/>
        <v>0</v>
      </c>
      <c r="Q58" s="100">
        <f t="shared" si="16"/>
        <v>0</v>
      </c>
      <c r="R58" s="819"/>
    </row>
    <row r="59" spans="1:18" s="95" customFormat="1" ht="12" customHeight="1" thickBot="1">
      <c r="A59" s="824"/>
      <c r="B59" s="842"/>
      <c r="C59" s="845"/>
      <c r="D59" s="848"/>
      <c r="E59" s="850"/>
      <c r="F59" s="101">
        <f>F55+F57</f>
        <v>2233748</v>
      </c>
      <c r="G59" s="85" t="s">
        <v>26</v>
      </c>
      <c r="H59" s="102">
        <f aca="true" t="shared" si="17" ref="H59:Q59">H55+H57</f>
        <v>0</v>
      </c>
      <c r="I59" s="103">
        <f t="shared" si="17"/>
        <v>0</v>
      </c>
      <c r="J59" s="104">
        <f t="shared" si="17"/>
        <v>0</v>
      </c>
      <c r="K59" s="104">
        <f t="shared" si="17"/>
        <v>0</v>
      </c>
      <c r="L59" s="104">
        <f t="shared" si="17"/>
        <v>0</v>
      </c>
      <c r="M59" s="104">
        <f t="shared" si="17"/>
        <v>0</v>
      </c>
      <c r="N59" s="104">
        <f t="shared" si="17"/>
        <v>0</v>
      </c>
      <c r="O59" s="104">
        <f t="shared" si="17"/>
        <v>0</v>
      </c>
      <c r="P59" s="104">
        <f t="shared" si="17"/>
        <v>0</v>
      </c>
      <c r="Q59" s="105">
        <f t="shared" si="17"/>
        <v>0</v>
      </c>
      <c r="R59" s="820"/>
    </row>
    <row r="60" spans="1:18" s="95" customFormat="1" ht="12.75" customHeight="1">
      <c r="A60" s="823">
        <v>10</v>
      </c>
      <c r="B60" s="840" t="s">
        <v>86</v>
      </c>
      <c r="C60" s="843">
        <v>60015</v>
      </c>
      <c r="D60" s="846" t="s">
        <v>81</v>
      </c>
      <c r="E60" s="837">
        <v>2010</v>
      </c>
      <c r="F60" s="90" t="s">
        <v>14</v>
      </c>
      <c r="G60" s="59" t="s">
        <v>15</v>
      </c>
      <c r="H60" s="91">
        <v>1237763</v>
      </c>
      <c r="I60" s="92">
        <v>7446000</v>
      </c>
      <c r="J60" s="93">
        <v>7300000</v>
      </c>
      <c r="K60" s="93">
        <v>4388000</v>
      </c>
      <c r="L60" s="93"/>
      <c r="M60" s="93"/>
      <c r="N60" s="93"/>
      <c r="O60" s="93"/>
      <c r="P60" s="93"/>
      <c r="Q60" s="94"/>
      <c r="R60" s="818">
        <f>SUM(J60:Q60)</f>
        <v>11688000</v>
      </c>
    </row>
    <row r="61" spans="1:18" s="95" customFormat="1" ht="12.75" customHeight="1">
      <c r="A61" s="824"/>
      <c r="B61" s="841"/>
      <c r="C61" s="844"/>
      <c r="D61" s="847"/>
      <c r="E61" s="838"/>
      <c r="F61" s="96">
        <f>SUM(H60:Q60)</f>
        <v>20371763</v>
      </c>
      <c r="G61" s="67" t="s">
        <v>16</v>
      </c>
      <c r="H61" s="97"/>
      <c r="I61" s="98"/>
      <c r="J61" s="99"/>
      <c r="K61" s="99"/>
      <c r="L61" s="99"/>
      <c r="M61" s="99"/>
      <c r="N61" s="99"/>
      <c r="O61" s="99"/>
      <c r="P61" s="99"/>
      <c r="Q61" s="100"/>
      <c r="R61" s="819"/>
    </row>
    <row r="62" spans="1:18" s="95" customFormat="1" ht="12.75" customHeight="1">
      <c r="A62" s="824"/>
      <c r="B62" s="841"/>
      <c r="C62" s="844"/>
      <c r="D62" s="847"/>
      <c r="E62" s="839"/>
      <c r="F62" s="96" t="s">
        <v>18</v>
      </c>
      <c r="G62" s="67" t="s">
        <v>23</v>
      </c>
      <c r="H62" s="97"/>
      <c r="I62" s="98"/>
      <c r="J62" s="99"/>
      <c r="K62" s="99"/>
      <c r="L62" s="99"/>
      <c r="M62" s="99"/>
      <c r="N62" s="99"/>
      <c r="O62" s="99"/>
      <c r="P62" s="99"/>
      <c r="Q62" s="100"/>
      <c r="R62" s="819"/>
    </row>
    <row r="63" spans="1:18" s="95" customFormat="1" ht="10.5" customHeight="1">
      <c r="A63" s="824"/>
      <c r="B63" s="841"/>
      <c r="C63" s="844"/>
      <c r="D63" s="847"/>
      <c r="E63" s="849">
        <v>2013</v>
      </c>
      <c r="F63" s="96">
        <f>SUM(H62:Q62)</f>
        <v>0</v>
      </c>
      <c r="G63" s="67" t="s">
        <v>24</v>
      </c>
      <c r="H63" s="97"/>
      <c r="I63" s="98"/>
      <c r="J63" s="99"/>
      <c r="K63" s="99"/>
      <c r="L63" s="99"/>
      <c r="M63" s="99"/>
      <c r="N63" s="99"/>
      <c r="O63" s="99"/>
      <c r="P63" s="99"/>
      <c r="Q63" s="100"/>
      <c r="R63" s="819"/>
    </row>
    <row r="64" spans="1:18" s="95" customFormat="1" ht="12.75" customHeight="1">
      <c r="A64" s="824"/>
      <c r="B64" s="841"/>
      <c r="C64" s="844"/>
      <c r="D64" s="847"/>
      <c r="E64" s="838"/>
      <c r="F64" s="96" t="s">
        <v>82</v>
      </c>
      <c r="G64" s="67" t="s">
        <v>25</v>
      </c>
      <c r="H64" s="97">
        <f aca="true" t="shared" si="18" ref="H64:Q64">H60+H62</f>
        <v>1237763</v>
      </c>
      <c r="I64" s="98">
        <f t="shared" si="18"/>
        <v>7446000</v>
      </c>
      <c r="J64" s="99">
        <f t="shared" si="18"/>
        <v>7300000</v>
      </c>
      <c r="K64" s="99">
        <f t="shared" si="18"/>
        <v>4388000</v>
      </c>
      <c r="L64" s="99">
        <f t="shared" si="18"/>
        <v>0</v>
      </c>
      <c r="M64" s="99">
        <f t="shared" si="18"/>
        <v>0</v>
      </c>
      <c r="N64" s="99">
        <f t="shared" si="18"/>
        <v>0</v>
      </c>
      <c r="O64" s="99">
        <f t="shared" si="18"/>
        <v>0</v>
      </c>
      <c r="P64" s="99">
        <f t="shared" si="18"/>
        <v>0</v>
      </c>
      <c r="Q64" s="100">
        <f t="shared" si="18"/>
        <v>0</v>
      </c>
      <c r="R64" s="819"/>
    </row>
    <row r="65" spans="1:18" s="95" customFormat="1" ht="12.75" customHeight="1" thickBot="1">
      <c r="A65" s="825"/>
      <c r="B65" s="842"/>
      <c r="C65" s="845"/>
      <c r="D65" s="848"/>
      <c r="E65" s="850"/>
      <c r="F65" s="101">
        <f>F61+F63</f>
        <v>20371763</v>
      </c>
      <c r="G65" s="85" t="s">
        <v>26</v>
      </c>
      <c r="H65" s="102">
        <f aca="true" t="shared" si="19" ref="H65:Q65">H61+H63</f>
        <v>0</v>
      </c>
      <c r="I65" s="103">
        <f t="shared" si="19"/>
        <v>0</v>
      </c>
      <c r="J65" s="104">
        <f t="shared" si="19"/>
        <v>0</v>
      </c>
      <c r="K65" s="104">
        <f t="shared" si="19"/>
        <v>0</v>
      </c>
      <c r="L65" s="104">
        <f t="shared" si="19"/>
        <v>0</v>
      </c>
      <c r="M65" s="104">
        <f t="shared" si="19"/>
        <v>0</v>
      </c>
      <c r="N65" s="104">
        <f t="shared" si="19"/>
        <v>0</v>
      </c>
      <c r="O65" s="104">
        <f t="shared" si="19"/>
        <v>0</v>
      </c>
      <c r="P65" s="104">
        <f t="shared" si="19"/>
        <v>0</v>
      </c>
      <c r="Q65" s="105">
        <f t="shared" si="19"/>
        <v>0</v>
      </c>
      <c r="R65" s="820"/>
    </row>
    <row r="66" spans="1:18" s="95" customFormat="1" ht="12.75" customHeight="1">
      <c r="A66" s="823">
        <v>11</v>
      </c>
      <c r="B66" s="840" t="s">
        <v>87</v>
      </c>
      <c r="C66" s="843">
        <v>60015</v>
      </c>
      <c r="D66" s="846" t="s">
        <v>81</v>
      </c>
      <c r="E66" s="837">
        <v>2010</v>
      </c>
      <c r="F66" s="90" t="s">
        <v>14</v>
      </c>
      <c r="G66" s="59" t="s">
        <v>15</v>
      </c>
      <c r="H66" s="91">
        <v>21736</v>
      </c>
      <c r="I66" s="92">
        <v>160000</v>
      </c>
      <c r="J66" s="93">
        <v>160000</v>
      </c>
      <c r="K66" s="93">
        <v>90000</v>
      </c>
      <c r="L66" s="93"/>
      <c r="M66" s="93"/>
      <c r="N66" s="93"/>
      <c r="O66" s="93"/>
      <c r="P66" s="93"/>
      <c r="Q66" s="94"/>
      <c r="R66" s="818">
        <f>SUM(J66:Q66)</f>
        <v>250000</v>
      </c>
    </row>
    <row r="67" spans="1:18" s="95" customFormat="1" ht="12.75" customHeight="1">
      <c r="A67" s="824"/>
      <c r="B67" s="841"/>
      <c r="C67" s="844"/>
      <c r="D67" s="847"/>
      <c r="E67" s="838"/>
      <c r="F67" s="96">
        <f>SUM(H66:Q66)</f>
        <v>431736</v>
      </c>
      <c r="G67" s="67" t="s">
        <v>16</v>
      </c>
      <c r="H67" s="97"/>
      <c r="I67" s="98"/>
      <c r="J67" s="99"/>
      <c r="K67" s="99"/>
      <c r="L67" s="99"/>
      <c r="M67" s="99"/>
      <c r="N67" s="99"/>
      <c r="O67" s="99"/>
      <c r="P67" s="99"/>
      <c r="Q67" s="100"/>
      <c r="R67" s="819"/>
    </row>
    <row r="68" spans="1:18" s="95" customFormat="1" ht="12.75" customHeight="1">
      <c r="A68" s="824"/>
      <c r="B68" s="841"/>
      <c r="C68" s="844"/>
      <c r="D68" s="847"/>
      <c r="E68" s="839"/>
      <c r="F68" s="96" t="s">
        <v>18</v>
      </c>
      <c r="G68" s="67" t="s">
        <v>23</v>
      </c>
      <c r="H68" s="97"/>
      <c r="I68" s="98"/>
      <c r="J68" s="99"/>
      <c r="K68" s="99"/>
      <c r="L68" s="99"/>
      <c r="M68" s="99"/>
      <c r="N68" s="99"/>
      <c r="O68" s="99"/>
      <c r="P68" s="99"/>
      <c r="Q68" s="100"/>
      <c r="R68" s="819"/>
    </row>
    <row r="69" spans="1:18" s="95" customFormat="1" ht="11.25" customHeight="1">
      <c r="A69" s="824"/>
      <c r="B69" s="841"/>
      <c r="C69" s="844"/>
      <c r="D69" s="847"/>
      <c r="E69" s="849">
        <v>2013</v>
      </c>
      <c r="F69" s="96">
        <f>SUM(H68:Q68)</f>
        <v>0</v>
      </c>
      <c r="G69" s="67" t="s">
        <v>24</v>
      </c>
      <c r="H69" s="97"/>
      <c r="I69" s="98"/>
      <c r="J69" s="99"/>
      <c r="K69" s="99"/>
      <c r="L69" s="99"/>
      <c r="M69" s="99"/>
      <c r="N69" s="99"/>
      <c r="O69" s="99"/>
      <c r="P69" s="99"/>
      <c r="Q69" s="100"/>
      <c r="R69" s="819"/>
    </row>
    <row r="70" spans="1:18" s="95" customFormat="1" ht="12.75" customHeight="1">
      <c r="A70" s="824"/>
      <c r="B70" s="841"/>
      <c r="C70" s="844"/>
      <c r="D70" s="847"/>
      <c r="E70" s="838"/>
      <c r="F70" s="96" t="s">
        <v>82</v>
      </c>
      <c r="G70" s="67" t="s">
        <v>25</v>
      </c>
      <c r="H70" s="97">
        <f aca="true" t="shared" si="20" ref="H70:Q70">H66+H68</f>
        <v>21736</v>
      </c>
      <c r="I70" s="98">
        <f t="shared" si="20"/>
        <v>160000</v>
      </c>
      <c r="J70" s="99">
        <f t="shared" si="20"/>
        <v>160000</v>
      </c>
      <c r="K70" s="99">
        <f t="shared" si="20"/>
        <v>90000</v>
      </c>
      <c r="L70" s="99">
        <f t="shared" si="20"/>
        <v>0</v>
      </c>
      <c r="M70" s="99">
        <f t="shared" si="20"/>
        <v>0</v>
      </c>
      <c r="N70" s="99">
        <f t="shared" si="20"/>
        <v>0</v>
      </c>
      <c r="O70" s="99">
        <f t="shared" si="20"/>
        <v>0</v>
      </c>
      <c r="P70" s="99">
        <f t="shared" si="20"/>
        <v>0</v>
      </c>
      <c r="Q70" s="100">
        <f t="shared" si="20"/>
        <v>0</v>
      </c>
      <c r="R70" s="819"/>
    </row>
    <row r="71" spans="1:18" s="95" customFormat="1" ht="12.75" customHeight="1" thickBot="1">
      <c r="A71" s="824"/>
      <c r="B71" s="842"/>
      <c r="C71" s="845"/>
      <c r="D71" s="848"/>
      <c r="E71" s="850"/>
      <c r="F71" s="101">
        <f>F67+F69</f>
        <v>431736</v>
      </c>
      <c r="G71" s="85" t="s">
        <v>26</v>
      </c>
      <c r="H71" s="102">
        <f aca="true" t="shared" si="21" ref="H71:Q71">H67+H69</f>
        <v>0</v>
      </c>
      <c r="I71" s="103">
        <f t="shared" si="21"/>
        <v>0</v>
      </c>
      <c r="J71" s="104">
        <f t="shared" si="21"/>
        <v>0</v>
      </c>
      <c r="K71" s="104">
        <f t="shared" si="21"/>
        <v>0</v>
      </c>
      <c r="L71" s="104">
        <f t="shared" si="21"/>
        <v>0</v>
      </c>
      <c r="M71" s="104">
        <f t="shared" si="21"/>
        <v>0</v>
      </c>
      <c r="N71" s="104">
        <f t="shared" si="21"/>
        <v>0</v>
      </c>
      <c r="O71" s="104">
        <f t="shared" si="21"/>
        <v>0</v>
      </c>
      <c r="P71" s="104">
        <f t="shared" si="21"/>
        <v>0</v>
      </c>
      <c r="Q71" s="105">
        <f t="shared" si="21"/>
        <v>0</v>
      </c>
      <c r="R71" s="820"/>
    </row>
    <row r="72" spans="1:18" s="95" customFormat="1" ht="12.75" customHeight="1">
      <c r="A72" s="823">
        <v>12</v>
      </c>
      <c r="B72" s="840" t="s">
        <v>88</v>
      </c>
      <c r="C72" s="843">
        <v>60015</v>
      </c>
      <c r="D72" s="846" t="s">
        <v>81</v>
      </c>
      <c r="E72" s="837">
        <v>2009</v>
      </c>
      <c r="F72" s="90" t="s">
        <v>14</v>
      </c>
      <c r="G72" s="59" t="s">
        <v>15</v>
      </c>
      <c r="H72" s="91">
        <v>844533</v>
      </c>
      <c r="I72" s="92">
        <v>1013439</v>
      </c>
      <c r="J72" s="93">
        <v>1013439</v>
      </c>
      <c r="K72" s="93">
        <v>253360</v>
      </c>
      <c r="L72" s="93"/>
      <c r="M72" s="93"/>
      <c r="N72" s="93"/>
      <c r="O72" s="93"/>
      <c r="P72" s="93"/>
      <c r="Q72" s="94"/>
      <c r="R72" s="818">
        <f>SUM(J72:Q72)</f>
        <v>1266799</v>
      </c>
    </row>
    <row r="73" spans="1:18" s="95" customFormat="1" ht="12.75" customHeight="1">
      <c r="A73" s="824"/>
      <c r="B73" s="841"/>
      <c r="C73" s="844"/>
      <c r="D73" s="847"/>
      <c r="E73" s="838"/>
      <c r="F73" s="96">
        <f>SUM(H72:Q72)</f>
        <v>3124771</v>
      </c>
      <c r="G73" s="67" t="s">
        <v>16</v>
      </c>
      <c r="H73" s="97"/>
      <c r="I73" s="98"/>
      <c r="J73" s="99"/>
      <c r="K73" s="99"/>
      <c r="L73" s="99"/>
      <c r="M73" s="99"/>
      <c r="N73" s="99"/>
      <c r="O73" s="99"/>
      <c r="P73" s="99"/>
      <c r="Q73" s="100"/>
      <c r="R73" s="819"/>
    </row>
    <row r="74" spans="1:18" s="95" customFormat="1" ht="12.75" customHeight="1">
      <c r="A74" s="824"/>
      <c r="B74" s="841"/>
      <c r="C74" s="844"/>
      <c r="D74" s="847"/>
      <c r="E74" s="839"/>
      <c r="F74" s="96" t="s">
        <v>18</v>
      </c>
      <c r="G74" s="67" t="s">
        <v>23</v>
      </c>
      <c r="H74" s="97"/>
      <c r="I74" s="98"/>
      <c r="J74" s="99"/>
      <c r="K74" s="99"/>
      <c r="L74" s="99"/>
      <c r="M74" s="99"/>
      <c r="N74" s="99"/>
      <c r="O74" s="99"/>
      <c r="P74" s="99"/>
      <c r="Q74" s="100"/>
      <c r="R74" s="819"/>
    </row>
    <row r="75" spans="1:18" s="95" customFormat="1" ht="10.5" customHeight="1">
      <c r="A75" s="824"/>
      <c r="B75" s="841"/>
      <c r="C75" s="844"/>
      <c r="D75" s="847"/>
      <c r="E75" s="849">
        <v>2013</v>
      </c>
      <c r="F75" s="96">
        <f>SUM(H74:Q74)</f>
        <v>0</v>
      </c>
      <c r="G75" s="67" t="s">
        <v>24</v>
      </c>
      <c r="H75" s="97"/>
      <c r="I75" s="98"/>
      <c r="J75" s="99"/>
      <c r="K75" s="99"/>
      <c r="L75" s="99"/>
      <c r="M75" s="99"/>
      <c r="N75" s="99"/>
      <c r="O75" s="99"/>
      <c r="P75" s="99"/>
      <c r="Q75" s="100"/>
      <c r="R75" s="819"/>
    </row>
    <row r="76" spans="1:18" s="95" customFormat="1" ht="12.75" customHeight="1">
      <c r="A76" s="824"/>
      <c r="B76" s="841"/>
      <c r="C76" s="844"/>
      <c r="D76" s="847"/>
      <c r="E76" s="838"/>
      <c r="F76" s="96" t="s">
        <v>82</v>
      </c>
      <c r="G76" s="67" t="s">
        <v>25</v>
      </c>
      <c r="H76" s="97">
        <f aca="true" t="shared" si="22" ref="H76:Q76">H72+H74</f>
        <v>844533</v>
      </c>
      <c r="I76" s="98">
        <f t="shared" si="22"/>
        <v>1013439</v>
      </c>
      <c r="J76" s="99">
        <f t="shared" si="22"/>
        <v>1013439</v>
      </c>
      <c r="K76" s="99">
        <f t="shared" si="22"/>
        <v>253360</v>
      </c>
      <c r="L76" s="99">
        <f t="shared" si="22"/>
        <v>0</v>
      </c>
      <c r="M76" s="99">
        <f t="shared" si="22"/>
        <v>0</v>
      </c>
      <c r="N76" s="99">
        <f t="shared" si="22"/>
        <v>0</v>
      </c>
      <c r="O76" s="99">
        <f t="shared" si="22"/>
        <v>0</v>
      </c>
      <c r="P76" s="99">
        <f t="shared" si="22"/>
        <v>0</v>
      </c>
      <c r="Q76" s="100">
        <f t="shared" si="22"/>
        <v>0</v>
      </c>
      <c r="R76" s="819"/>
    </row>
    <row r="77" spans="1:18" s="95" customFormat="1" ht="12.75" customHeight="1" thickBot="1">
      <c r="A77" s="825"/>
      <c r="B77" s="842"/>
      <c r="C77" s="845"/>
      <c r="D77" s="848"/>
      <c r="E77" s="850"/>
      <c r="F77" s="101">
        <f>F73+F75</f>
        <v>3124771</v>
      </c>
      <c r="G77" s="85" t="s">
        <v>26</v>
      </c>
      <c r="H77" s="102">
        <f aca="true" t="shared" si="23" ref="H77:Q77">H73+H75</f>
        <v>0</v>
      </c>
      <c r="I77" s="103">
        <f t="shared" si="23"/>
        <v>0</v>
      </c>
      <c r="J77" s="104">
        <f t="shared" si="23"/>
        <v>0</v>
      </c>
      <c r="K77" s="104">
        <f t="shared" si="23"/>
        <v>0</v>
      </c>
      <c r="L77" s="104">
        <f t="shared" si="23"/>
        <v>0</v>
      </c>
      <c r="M77" s="104">
        <f t="shared" si="23"/>
        <v>0</v>
      </c>
      <c r="N77" s="104">
        <f t="shared" si="23"/>
        <v>0</v>
      </c>
      <c r="O77" s="104">
        <f t="shared" si="23"/>
        <v>0</v>
      </c>
      <c r="P77" s="104">
        <f t="shared" si="23"/>
        <v>0</v>
      </c>
      <c r="Q77" s="105">
        <f t="shared" si="23"/>
        <v>0</v>
      </c>
      <c r="R77" s="820"/>
    </row>
    <row r="78" spans="1:18" s="95" customFormat="1" ht="12.75" customHeight="1">
      <c r="A78" s="823">
        <v>13</v>
      </c>
      <c r="B78" s="840" t="s">
        <v>83</v>
      </c>
      <c r="C78" s="843">
        <v>60016</v>
      </c>
      <c r="D78" s="846" t="s">
        <v>81</v>
      </c>
      <c r="E78" s="837">
        <v>2010</v>
      </c>
      <c r="F78" s="90" t="s">
        <v>14</v>
      </c>
      <c r="G78" s="59" t="s">
        <v>15</v>
      </c>
      <c r="H78" s="91">
        <v>7527</v>
      </c>
      <c r="I78" s="92">
        <v>240000</v>
      </c>
      <c r="J78" s="93">
        <v>240000</v>
      </c>
      <c r="K78" s="93">
        <v>140000</v>
      </c>
      <c r="L78" s="93"/>
      <c r="M78" s="93"/>
      <c r="N78" s="93"/>
      <c r="O78" s="93"/>
      <c r="P78" s="93"/>
      <c r="Q78" s="94"/>
      <c r="R78" s="818">
        <f>SUM(J78:Q78)</f>
        <v>380000</v>
      </c>
    </row>
    <row r="79" spans="1:18" s="95" customFormat="1" ht="12.75" customHeight="1">
      <c r="A79" s="824"/>
      <c r="B79" s="841"/>
      <c r="C79" s="844"/>
      <c r="D79" s="847"/>
      <c r="E79" s="838"/>
      <c r="F79" s="96">
        <f>SUM(H78:Q78)</f>
        <v>627527</v>
      </c>
      <c r="G79" s="67" t="s">
        <v>16</v>
      </c>
      <c r="H79" s="97"/>
      <c r="I79" s="98"/>
      <c r="J79" s="99"/>
      <c r="K79" s="99"/>
      <c r="L79" s="99"/>
      <c r="M79" s="99"/>
      <c r="N79" s="99"/>
      <c r="O79" s="99"/>
      <c r="P79" s="99"/>
      <c r="Q79" s="100"/>
      <c r="R79" s="819"/>
    </row>
    <row r="80" spans="1:18" s="95" customFormat="1" ht="9.75" customHeight="1">
      <c r="A80" s="824"/>
      <c r="B80" s="841"/>
      <c r="C80" s="844"/>
      <c r="D80" s="847"/>
      <c r="E80" s="839"/>
      <c r="F80" s="96" t="s">
        <v>18</v>
      </c>
      <c r="G80" s="67" t="s">
        <v>23</v>
      </c>
      <c r="H80" s="97"/>
      <c r="I80" s="98"/>
      <c r="J80" s="99"/>
      <c r="K80" s="99"/>
      <c r="L80" s="99"/>
      <c r="M80" s="99"/>
      <c r="N80" s="99"/>
      <c r="O80" s="99"/>
      <c r="P80" s="99"/>
      <c r="Q80" s="100"/>
      <c r="R80" s="819"/>
    </row>
    <row r="81" spans="1:18" s="95" customFormat="1" ht="10.5" customHeight="1">
      <c r="A81" s="824"/>
      <c r="B81" s="841"/>
      <c r="C81" s="844"/>
      <c r="D81" s="847"/>
      <c r="E81" s="849">
        <v>2013</v>
      </c>
      <c r="F81" s="96">
        <f>SUM(H80:Q80)</f>
        <v>0</v>
      </c>
      <c r="G81" s="67" t="s">
        <v>24</v>
      </c>
      <c r="H81" s="97"/>
      <c r="I81" s="98"/>
      <c r="J81" s="99"/>
      <c r="K81" s="99"/>
      <c r="L81" s="99"/>
      <c r="M81" s="99"/>
      <c r="N81" s="99"/>
      <c r="O81" s="99"/>
      <c r="P81" s="99"/>
      <c r="Q81" s="100"/>
      <c r="R81" s="819"/>
    </row>
    <row r="82" spans="1:18" s="95" customFormat="1" ht="12.75" customHeight="1">
      <c r="A82" s="824"/>
      <c r="B82" s="841"/>
      <c r="C82" s="844"/>
      <c r="D82" s="847"/>
      <c r="E82" s="838"/>
      <c r="F82" s="96" t="s">
        <v>82</v>
      </c>
      <c r="G82" s="67" t="s">
        <v>25</v>
      </c>
      <c r="H82" s="97">
        <f aca="true" t="shared" si="24" ref="H82:Q82">H78+H80</f>
        <v>7527</v>
      </c>
      <c r="I82" s="98">
        <f t="shared" si="24"/>
        <v>240000</v>
      </c>
      <c r="J82" s="99">
        <f t="shared" si="24"/>
        <v>240000</v>
      </c>
      <c r="K82" s="99">
        <f t="shared" si="24"/>
        <v>140000</v>
      </c>
      <c r="L82" s="99">
        <f t="shared" si="24"/>
        <v>0</v>
      </c>
      <c r="M82" s="99">
        <f t="shared" si="24"/>
        <v>0</v>
      </c>
      <c r="N82" s="99">
        <f t="shared" si="24"/>
        <v>0</v>
      </c>
      <c r="O82" s="99">
        <f t="shared" si="24"/>
        <v>0</v>
      </c>
      <c r="P82" s="99">
        <f t="shared" si="24"/>
        <v>0</v>
      </c>
      <c r="Q82" s="100">
        <f t="shared" si="24"/>
        <v>0</v>
      </c>
      <c r="R82" s="819"/>
    </row>
    <row r="83" spans="1:18" s="95" customFormat="1" ht="12.75" customHeight="1" thickBot="1">
      <c r="A83" s="824"/>
      <c r="B83" s="842"/>
      <c r="C83" s="845"/>
      <c r="D83" s="848"/>
      <c r="E83" s="850"/>
      <c r="F83" s="101">
        <f>F79+F81</f>
        <v>627527</v>
      </c>
      <c r="G83" s="85" t="s">
        <v>26</v>
      </c>
      <c r="H83" s="102">
        <f aca="true" t="shared" si="25" ref="H83:Q83">H79+H81</f>
        <v>0</v>
      </c>
      <c r="I83" s="103">
        <f t="shared" si="25"/>
        <v>0</v>
      </c>
      <c r="J83" s="104">
        <f t="shared" si="25"/>
        <v>0</v>
      </c>
      <c r="K83" s="104">
        <f t="shared" si="25"/>
        <v>0</v>
      </c>
      <c r="L83" s="104">
        <f t="shared" si="25"/>
        <v>0</v>
      </c>
      <c r="M83" s="104">
        <f t="shared" si="25"/>
        <v>0</v>
      </c>
      <c r="N83" s="104">
        <f t="shared" si="25"/>
        <v>0</v>
      </c>
      <c r="O83" s="104">
        <f t="shared" si="25"/>
        <v>0</v>
      </c>
      <c r="P83" s="104">
        <f t="shared" si="25"/>
        <v>0</v>
      </c>
      <c r="Q83" s="105">
        <f t="shared" si="25"/>
        <v>0</v>
      </c>
      <c r="R83" s="820"/>
    </row>
    <row r="84" spans="1:18" s="95" customFormat="1" ht="12.75" customHeight="1">
      <c r="A84" s="823">
        <v>14</v>
      </c>
      <c r="B84" s="840" t="s">
        <v>84</v>
      </c>
      <c r="C84" s="843">
        <v>60016</v>
      </c>
      <c r="D84" s="846" t="s">
        <v>81</v>
      </c>
      <c r="E84" s="837">
        <v>2008</v>
      </c>
      <c r="F84" s="90" t="s">
        <v>14</v>
      </c>
      <c r="G84" s="59" t="s">
        <v>15</v>
      </c>
      <c r="H84" s="91">
        <v>2612</v>
      </c>
      <c r="I84" s="92">
        <v>2293</v>
      </c>
      <c r="J84" s="93">
        <v>1000</v>
      </c>
      <c r="K84" s="93"/>
      <c r="L84" s="93"/>
      <c r="M84" s="93"/>
      <c r="N84" s="93"/>
      <c r="O84" s="93"/>
      <c r="P84" s="93"/>
      <c r="Q84" s="94"/>
      <c r="R84" s="818">
        <f>SUM(J84:Q84)</f>
        <v>1000</v>
      </c>
    </row>
    <row r="85" spans="1:18" s="95" customFormat="1" ht="12.75" customHeight="1">
      <c r="A85" s="824"/>
      <c r="B85" s="841"/>
      <c r="C85" s="844"/>
      <c r="D85" s="847"/>
      <c r="E85" s="838"/>
      <c r="F85" s="96">
        <f>SUM(H84:Q84)</f>
        <v>5905</v>
      </c>
      <c r="G85" s="67" t="s">
        <v>16</v>
      </c>
      <c r="H85" s="97"/>
      <c r="I85" s="98"/>
      <c r="J85" s="99"/>
      <c r="K85" s="99"/>
      <c r="L85" s="99"/>
      <c r="M85" s="99"/>
      <c r="N85" s="99"/>
      <c r="O85" s="99"/>
      <c r="P85" s="99"/>
      <c r="Q85" s="100"/>
      <c r="R85" s="819"/>
    </row>
    <row r="86" spans="1:18" s="95" customFormat="1" ht="9.75" customHeight="1">
      <c r="A86" s="824"/>
      <c r="B86" s="841"/>
      <c r="C86" s="844"/>
      <c r="D86" s="847"/>
      <c r="E86" s="839"/>
      <c r="F86" s="96" t="s">
        <v>18</v>
      </c>
      <c r="G86" s="67" t="s">
        <v>23</v>
      </c>
      <c r="H86" s="97"/>
      <c r="I86" s="98"/>
      <c r="J86" s="99"/>
      <c r="K86" s="99"/>
      <c r="L86" s="99"/>
      <c r="M86" s="99"/>
      <c r="N86" s="99"/>
      <c r="O86" s="99"/>
      <c r="P86" s="99"/>
      <c r="Q86" s="100"/>
      <c r="R86" s="819"/>
    </row>
    <row r="87" spans="1:18" s="95" customFormat="1" ht="11.25" customHeight="1">
      <c r="A87" s="824"/>
      <c r="B87" s="841"/>
      <c r="C87" s="844"/>
      <c r="D87" s="847"/>
      <c r="E87" s="849">
        <v>2013</v>
      </c>
      <c r="F87" s="96">
        <f>SUM(H86:Q86)</f>
        <v>0</v>
      </c>
      <c r="G87" s="67" t="s">
        <v>24</v>
      </c>
      <c r="H87" s="97"/>
      <c r="I87" s="98"/>
      <c r="J87" s="99"/>
      <c r="K87" s="99"/>
      <c r="L87" s="99"/>
      <c r="M87" s="99"/>
      <c r="N87" s="99"/>
      <c r="O87" s="99"/>
      <c r="P87" s="99"/>
      <c r="Q87" s="100"/>
      <c r="R87" s="819"/>
    </row>
    <row r="88" spans="1:18" s="95" customFormat="1" ht="12.75" customHeight="1">
      <c r="A88" s="824"/>
      <c r="B88" s="841"/>
      <c r="C88" s="844"/>
      <c r="D88" s="847"/>
      <c r="E88" s="838"/>
      <c r="F88" s="96" t="s">
        <v>82</v>
      </c>
      <c r="G88" s="67" t="s">
        <v>25</v>
      </c>
      <c r="H88" s="97">
        <f aca="true" t="shared" si="26" ref="H88:Q88">H84+H86</f>
        <v>2612</v>
      </c>
      <c r="I88" s="98">
        <f t="shared" si="26"/>
        <v>2293</v>
      </c>
      <c r="J88" s="99">
        <f t="shared" si="26"/>
        <v>1000</v>
      </c>
      <c r="K88" s="99">
        <f t="shared" si="26"/>
        <v>0</v>
      </c>
      <c r="L88" s="99">
        <f t="shared" si="26"/>
        <v>0</v>
      </c>
      <c r="M88" s="99">
        <f t="shared" si="26"/>
        <v>0</v>
      </c>
      <c r="N88" s="99">
        <f t="shared" si="26"/>
        <v>0</v>
      </c>
      <c r="O88" s="99">
        <f t="shared" si="26"/>
        <v>0</v>
      </c>
      <c r="P88" s="99">
        <f t="shared" si="26"/>
        <v>0</v>
      </c>
      <c r="Q88" s="100">
        <f t="shared" si="26"/>
        <v>0</v>
      </c>
      <c r="R88" s="819"/>
    </row>
    <row r="89" spans="1:18" s="95" customFormat="1" ht="12.75" customHeight="1" thickBot="1">
      <c r="A89" s="825"/>
      <c r="B89" s="842"/>
      <c r="C89" s="845"/>
      <c r="D89" s="848"/>
      <c r="E89" s="850"/>
      <c r="F89" s="101">
        <f>F85+F87</f>
        <v>5905</v>
      </c>
      <c r="G89" s="85" t="s">
        <v>26</v>
      </c>
      <c r="H89" s="102">
        <f aca="true" t="shared" si="27" ref="H89:Q89">H85+H87</f>
        <v>0</v>
      </c>
      <c r="I89" s="103">
        <f t="shared" si="27"/>
        <v>0</v>
      </c>
      <c r="J89" s="104">
        <f t="shared" si="27"/>
        <v>0</v>
      </c>
      <c r="K89" s="104">
        <f t="shared" si="27"/>
        <v>0</v>
      </c>
      <c r="L89" s="104">
        <f t="shared" si="27"/>
        <v>0</v>
      </c>
      <c r="M89" s="104">
        <f t="shared" si="27"/>
        <v>0</v>
      </c>
      <c r="N89" s="104">
        <f t="shared" si="27"/>
        <v>0</v>
      </c>
      <c r="O89" s="104">
        <f t="shared" si="27"/>
        <v>0</v>
      </c>
      <c r="P89" s="104">
        <f t="shared" si="27"/>
        <v>0</v>
      </c>
      <c r="Q89" s="105">
        <f t="shared" si="27"/>
        <v>0</v>
      </c>
      <c r="R89" s="820"/>
    </row>
    <row r="90" spans="1:18" s="95" customFormat="1" ht="12.75" customHeight="1">
      <c r="A90" s="823">
        <v>15</v>
      </c>
      <c r="B90" s="840" t="s">
        <v>86</v>
      </c>
      <c r="C90" s="843">
        <v>60016</v>
      </c>
      <c r="D90" s="846" t="s">
        <v>81</v>
      </c>
      <c r="E90" s="837">
        <v>2010</v>
      </c>
      <c r="F90" s="90" t="s">
        <v>14</v>
      </c>
      <c r="G90" s="59" t="s">
        <v>15</v>
      </c>
      <c r="H90" s="91">
        <v>441945</v>
      </c>
      <c r="I90" s="92">
        <v>7260000</v>
      </c>
      <c r="J90" s="93">
        <v>7250000</v>
      </c>
      <c r="K90" s="93">
        <v>3799526</v>
      </c>
      <c r="L90" s="93"/>
      <c r="M90" s="93"/>
      <c r="N90" s="93"/>
      <c r="O90" s="93"/>
      <c r="P90" s="93"/>
      <c r="Q90" s="94"/>
      <c r="R90" s="818">
        <f>SUM(J90:Q90)</f>
        <v>11049526</v>
      </c>
    </row>
    <row r="91" spans="1:18" s="95" customFormat="1" ht="12.75" customHeight="1">
      <c r="A91" s="824"/>
      <c r="B91" s="841"/>
      <c r="C91" s="844"/>
      <c r="D91" s="847"/>
      <c r="E91" s="838"/>
      <c r="F91" s="96">
        <f>SUM(H90:Q90)</f>
        <v>18751471</v>
      </c>
      <c r="G91" s="67" t="s">
        <v>16</v>
      </c>
      <c r="H91" s="97"/>
      <c r="I91" s="98"/>
      <c r="J91" s="99"/>
      <c r="K91" s="99"/>
      <c r="L91" s="99"/>
      <c r="M91" s="99"/>
      <c r="N91" s="99"/>
      <c r="O91" s="99"/>
      <c r="P91" s="99"/>
      <c r="Q91" s="100"/>
      <c r="R91" s="819"/>
    </row>
    <row r="92" spans="1:18" s="95" customFormat="1" ht="12.75" customHeight="1">
      <c r="A92" s="824"/>
      <c r="B92" s="841"/>
      <c r="C92" s="844"/>
      <c r="D92" s="847"/>
      <c r="E92" s="839"/>
      <c r="F92" s="96" t="s">
        <v>18</v>
      </c>
      <c r="G92" s="67" t="s">
        <v>23</v>
      </c>
      <c r="H92" s="97"/>
      <c r="I92" s="98"/>
      <c r="J92" s="99"/>
      <c r="K92" s="99"/>
      <c r="L92" s="99"/>
      <c r="M92" s="99"/>
      <c r="N92" s="99"/>
      <c r="O92" s="99"/>
      <c r="P92" s="99"/>
      <c r="Q92" s="100"/>
      <c r="R92" s="819"/>
    </row>
    <row r="93" spans="1:18" s="95" customFormat="1" ht="12.75" customHeight="1">
      <c r="A93" s="824"/>
      <c r="B93" s="841"/>
      <c r="C93" s="844"/>
      <c r="D93" s="847"/>
      <c r="E93" s="849">
        <v>2013</v>
      </c>
      <c r="F93" s="96">
        <f>SUM(H92:Q92)</f>
        <v>0</v>
      </c>
      <c r="G93" s="67" t="s">
        <v>24</v>
      </c>
      <c r="H93" s="97"/>
      <c r="I93" s="98"/>
      <c r="J93" s="99"/>
      <c r="K93" s="99"/>
      <c r="L93" s="99"/>
      <c r="M93" s="99"/>
      <c r="N93" s="99"/>
      <c r="O93" s="99"/>
      <c r="P93" s="99"/>
      <c r="Q93" s="100"/>
      <c r="R93" s="819"/>
    </row>
    <row r="94" spans="1:18" s="95" customFormat="1" ht="12.75" customHeight="1">
      <c r="A94" s="824"/>
      <c r="B94" s="841"/>
      <c r="C94" s="844"/>
      <c r="D94" s="847"/>
      <c r="E94" s="838"/>
      <c r="F94" s="96" t="s">
        <v>82</v>
      </c>
      <c r="G94" s="67" t="s">
        <v>25</v>
      </c>
      <c r="H94" s="97">
        <f aca="true" t="shared" si="28" ref="H94:Q94">H90+H92</f>
        <v>441945</v>
      </c>
      <c r="I94" s="98">
        <f t="shared" si="28"/>
        <v>7260000</v>
      </c>
      <c r="J94" s="99">
        <f t="shared" si="28"/>
        <v>7250000</v>
      </c>
      <c r="K94" s="99">
        <f t="shared" si="28"/>
        <v>3799526</v>
      </c>
      <c r="L94" s="99">
        <f t="shared" si="28"/>
        <v>0</v>
      </c>
      <c r="M94" s="99">
        <f t="shared" si="28"/>
        <v>0</v>
      </c>
      <c r="N94" s="99">
        <f t="shared" si="28"/>
        <v>0</v>
      </c>
      <c r="O94" s="99">
        <f t="shared" si="28"/>
        <v>0</v>
      </c>
      <c r="P94" s="99">
        <f t="shared" si="28"/>
        <v>0</v>
      </c>
      <c r="Q94" s="100">
        <f t="shared" si="28"/>
        <v>0</v>
      </c>
      <c r="R94" s="819"/>
    </row>
    <row r="95" spans="1:18" s="95" customFormat="1" ht="12.75" customHeight="1" thickBot="1">
      <c r="A95" s="825"/>
      <c r="B95" s="842"/>
      <c r="C95" s="845"/>
      <c r="D95" s="848"/>
      <c r="E95" s="850"/>
      <c r="F95" s="101">
        <f>F91+F93</f>
        <v>18751471</v>
      </c>
      <c r="G95" s="85" t="s">
        <v>26</v>
      </c>
      <c r="H95" s="102">
        <f aca="true" t="shared" si="29" ref="H95:Q95">H91+H93</f>
        <v>0</v>
      </c>
      <c r="I95" s="103">
        <f t="shared" si="29"/>
        <v>0</v>
      </c>
      <c r="J95" s="104">
        <f t="shared" si="29"/>
        <v>0</v>
      </c>
      <c r="K95" s="104">
        <f t="shared" si="29"/>
        <v>0</v>
      </c>
      <c r="L95" s="104">
        <f t="shared" si="29"/>
        <v>0</v>
      </c>
      <c r="M95" s="104">
        <f t="shared" si="29"/>
        <v>0</v>
      </c>
      <c r="N95" s="104">
        <f t="shared" si="29"/>
        <v>0</v>
      </c>
      <c r="O95" s="104">
        <f t="shared" si="29"/>
        <v>0</v>
      </c>
      <c r="P95" s="104">
        <f t="shared" si="29"/>
        <v>0</v>
      </c>
      <c r="Q95" s="105">
        <f t="shared" si="29"/>
        <v>0</v>
      </c>
      <c r="R95" s="820"/>
    </row>
    <row r="96" spans="1:18" s="95" customFormat="1" ht="12.75" customHeight="1">
      <c r="A96" s="823">
        <v>16</v>
      </c>
      <c r="B96" s="840" t="s">
        <v>87</v>
      </c>
      <c r="C96" s="843">
        <v>60016</v>
      </c>
      <c r="D96" s="846" t="s">
        <v>81</v>
      </c>
      <c r="E96" s="837">
        <v>2010</v>
      </c>
      <c r="F96" s="90" t="s">
        <v>14</v>
      </c>
      <c r="G96" s="59" t="s">
        <v>15</v>
      </c>
      <c r="H96" s="91">
        <v>0</v>
      </c>
      <c r="I96" s="92">
        <v>160000</v>
      </c>
      <c r="J96" s="93">
        <v>160000</v>
      </c>
      <c r="K96" s="93">
        <v>90000</v>
      </c>
      <c r="L96" s="93"/>
      <c r="M96" s="93"/>
      <c r="N96" s="93"/>
      <c r="O96" s="93"/>
      <c r="P96" s="93"/>
      <c r="Q96" s="94"/>
      <c r="R96" s="818">
        <f>SUM(J96:Q96)</f>
        <v>250000</v>
      </c>
    </row>
    <row r="97" spans="1:18" s="95" customFormat="1" ht="12.75" customHeight="1">
      <c r="A97" s="824"/>
      <c r="B97" s="841"/>
      <c r="C97" s="844"/>
      <c r="D97" s="847"/>
      <c r="E97" s="838"/>
      <c r="F97" s="96">
        <f>SUM(H96:Q96)</f>
        <v>410000</v>
      </c>
      <c r="G97" s="67" t="s">
        <v>16</v>
      </c>
      <c r="H97" s="97"/>
      <c r="I97" s="98"/>
      <c r="J97" s="99"/>
      <c r="K97" s="99"/>
      <c r="L97" s="99"/>
      <c r="M97" s="99"/>
      <c r="N97" s="99"/>
      <c r="O97" s="99"/>
      <c r="P97" s="99"/>
      <c r="Q97" s="100"/>
      <c r="R97" s="819"/>
    </row>
    <row r="98" spans="1:18" s="95" customFormat="1" ht="11.25" customHeight="1">
      <c r="A98" s="824"/>
      <c r="B98" s="841"/>
      <c r="C98" s="844"/>
      <c r="D98" s="847"/>
      <c r="E98" s="839"/>
      <c r="F98" s="96" t="s">
        <v>18</v>
      </c>
      <c r="G98" s="67" t="s">
        <v>23</v>
      </c>
      <c r="H98" s="97"/>
      <c r="I98" s="98"/>
      <c r="J98" s="99"/>
      <c r="K98" s="99"/>
      <c r="L98" s="99"/>
      <c r="M98" s="99"/>
      <c r="N98" s="99"/>
      <c r="O98" s="99"/>
      <c r="P98" s="99"/>
      <c r="Q98" s="100"/>
      <c r="R98" s="819"/>
    </row>
    <row r="99" spans="1:18" s="95" customFormat="1" ht="12.75" customHeight="1">
      <c r="A99" s="824"/>
      <c r="B99" s="841"/>
      <c r="C99" s="844"/>
      <c r="D99" s="847"/>
      <c r="E99" s="849">
        <v>2013</v>
      </c>
      <c r="F99" s="96">
        <f>SUM(H98:Q98)</f>
        <v>0</v>
      </c>
      <c r="G99" s="67" t="s">
        <v>24</v>
      </c>
      <c r="H99" s="97"/>
      <c r="I99" s="98"/>
      <c r="J99" s="99"/>
      <c r="K99" s="99"/>
      <c r="L99" s="99"/>
      <c r="M99" s="99"/>
      <c r="N99" s="99"/>
      <c r="O99" s="99"/>
      <c r="P99" s="99"/>
      <c r="Q99" s="100"/>
      <c r="R99" s="819"/>
    </row>
    <row r="100" spans="1:18" s="95" customFormat="1" ht="12.75" customHeight="1">
      <c r="A100" s="824"/>
      <c r="B100" s="841"/>
      <c r="C100" s="844"/>
      <c r="D100" s="847"/>
      <c r="E100" s="838"/>
      <c r="F100" s="96" t="s">
        <v>82</v>
      </c>
      <c r="G100" s="67" t="s">
        <v>25</v>
      </c>
      <c r="H100" s="97">
        <f aca="true" t="shared" si="30" ref="H100:Q100">H96+H98</f>
        <v>0</v>
      </c>
      <c r="I100" s="98">
        <f t="shared" si="30"/>
        <v>160000</v>
      </c>
      <c r="J100" s="99">
        <f t="shared" si="30"/>
        <v>160000</v>
      </c>
      <c r="K100" s="99">
        <f t="shared" si="30"/>
        <v>90000</v>
      </c>
      <c r="L100" s="99">
        <f t="shared" si="30"/>
        <v>0</v>
      </c>
      <c r="M100" s="99">
        <f t="shared" si="30"/>
        <v>0</v>
      </c>
      <c r="N100" s="99">
        <f t="shared" si="30"/>
        <v>0</v>
      </c>
      <c r="O100" s="99">
        <f t="shared" si="30"/>
        <v>0</v>
      </c>
      <c r="P100" s="99">
        <f t="shared" si="30"/>
        <v>0</v>
      </c>
      <c r="Q100" s="100">
        <f t="shared" si="30"/>
        <v>0</v>
      </c>
      <c r="R100" s="819"/>
    </row>
    <row r="101" spans="1:18" s="95" customFormat="1" ht="12.75" customHeight="1" thickBot="1">
      <c r="A101" s="825"/>
      <c r="B101" s="842"/>
      <c r="C101" s="845"/>
      <c r="D101" s="848"/>
      <c r="E101" s="850"/>
      <c r="F101" s="101">
        <f>F97+F99</f>
        <v>410000</v>
      </c>
      <c r="G101" s="85" t="s">
        <v>26</v>
      </c>
      <c r="H101" s="102">
        <f aca="true" t="shared" si="31" ref="H101:Q101">H97+H99</f>
        <v>0</v>
      </c>
      <c r="I101" s="103">
        <f t="shared" si="31"/>
        <v>0</v>
      </c>
      <c r="J101" s="104">
        <f t="shared" si="31"/>
        <v>0</v>
      </c>
      <c r="K101" s="104">
        <f t="shared" si="31"/>
        <v>0</v>
      </c>
      <c r="L101" s="104">
        <f t="shared" si="31"/>
        <v>0</v>
      </c>
      <c r="M101" s="104">
        <f t="shared" si="31"/>
        <v>0</v>
      </c>
      <c r="N101" s="104">
        <f t="shared" si="31"/>
        <v>0</v>
      </c>
      <c r="O101" s="104">
        <f t="shared" si="31"/>
        <v>0</v>
      </c>
      <c r="P101" s="104">
        <f t="shared" si="31"/>
        <v>0</v>
      </c>
      <c r="Q101" s="105">
        <f t="shared" si="31"/>
        <v>0</v>
      </c>
      <c r="R101" s="820"/>
    </row>
    <row r="102" spans="1:18" s="95" customFormat="1" ht="12.75" customHeight="1">
      <c r="A102" s="823">
        <v>17</v>
      </c>
      <c r="B102" s="840" t="s">
        <v>89</v>
      </c>
      <c r="C102" s="843">
        <v>60016</v>
      </c>
      <c r="D102" s="846" t="s">
        <v>81</v>
      </c>
      <c r="E102" s="837">
        <v>2010</v>
      </c>
      <c r="F102" s="90" t="s">
        <v>14</v>
      </c>
      <c r="G102" s="59" t="s">
        <v>15</v>
      </c>
      <c r="H102" s="91">
        <v>0</v>
      </c>
      <c r="I102" s="92">
        <v>150000</v>
      </c>
      <c r="J102" s="93">
        <v>150000</v>
      </c>
      <c r="K102" s="93">
        <v>70000</v>
      </c>
      <c r="L102" s="93"/>
      <c r="M102" s="93"/>
      <c r="N102" s="93"/>
      <c r="O102" s="93"/>
      <c r="P102" s="93"/>
      <c r="Q102" s="94"/>
      <c r="R102" s="818">
        <f>SUM(J102:Q102)</f>
        <v>220000</v>
      </c>
    </row>
    <row r="103" spans="1:18" s="95" customFormat="1" ht="11.25" customHeight="1">
      <c r="A103" s="824"/>
      <c r="B103" s="841"/>
      <c r="C103" s="844"/>
      <c r="D103" s="847"/>
      <c r="E103" s="838"/>
      <c r="F103" s="96">
        <f>SUM(H102:Q102)</f>
        <v>370000</v>
      </c>
      <c r="G103" s="67" t="s">
        <v>16</v>
      </c>
      <c r="H103" s="97"/>
      <c r="I103" s="98"/>
      <c r="J103" s="99"/>
      <c r="K103" s="99"/>
      <c r="L103" s="99"/>
      <c r="M103" s="99"/>
      <c r="N103" s="99"/>
      <c r="O103" s="99"/>
      <c r="P103" s="99"/>
      <c r="Q103" s="100"/>
      <c r="R103" s="819"/>
    </row>
    <row r="104" spans="1:18" s="95" customFormat="1" ht="12.75" customHeight="1">
      <c r="A104" s="824"/>
      <c r="B104" s="841"/>
      <c r="C104" s="844"/>
      <c r="D104" s="847"/>
      <c r="E104" s="839"/>
      <c r="F104" s="96" t="s">
        <v>18</v>
      </c>
      <c r="G104" s="67" t="s">
        <v>23</v>
      </c>
      <c r="H104" s="97"/>
      <c r="I104" s="98"/>
      <c r="J104" s="99"/>
      <c r="K104" s="99"/>
      <c r="L104" s="99"/>
      <c r="M104" s="99"/>
      <c r="N104" s="99"/>
      <c r="O104" s="99"/>
      <c r="P104" s="99"/>
      <c r="Q104" s="100"/>
      <c r="R104" s="819"/>
    </row>
    <row r="105" spans="1:18" s="95" customFormat="1" ht="10.5" customHeight="1">
      <c r="A105" s="824"/>
      <c r="B105" s="841"/>
      <c r="C105" s="844"/>
      <c r="D105" s="847"/>
      <c r="E105" s="849">
        <v>2013</v>
      </c>
      <c r="F105" s="96">
        <f>SUM(H104:Q104)</f>
        <v>0</v>
      </c>
      <c r="G105" s="67" t="s">
        <v>24</v>
      </c>
      <c r="H105" s="97"/>
      <c r="I105" s="98"/>
      <c r="J105" s="99"/>
      <c r="K105" s="99"/>
      <c r="L105" s="99"/>
      <c r="M105" s="99"/>
      <c r="N105" s="99"/>
      <c r="O105" s="99"/>
      <c r="P105" s="99"/>
      <c r="Q105" s="100"/>
      <c r="R105" s="819"/>
    </row>
    <row r="106" spans="1:18" s="95" customFormat="1" ht="12.75" customHeight="1">
      <c r="A106" s="824"/>
      <c r="B106" s="841"/>
      <c r="C106" s="844"/>
      <c r="D106" s="847"/>
      <c r="E106" s="838"/>
      <c r="F106" s="96" t="s">
        <v>82</v>
      </c>
      <c r="G106" s="67" t="s">
        <v>25</v>
      </c>
      <c r="H106" s="97">
        <f aca="true" t="shared" si="32" ref="H106:Q106">H102+H104</f>
        <v>0</v>
      </c>
      <c r="I106" s="98">
        <f t="shared" si="32"/>
        <v>150000</v>
      </c>
      <c r="J106" s="99">
        <f t="shared" si="32"/>
        <v>150000</v>
      </c>
      <c r="K106" s="99">
        <f t="shared" si="32"/>
        <v>70000</v>
      </c>
      <c r="L106" s="99">
        <f t="shared" si="32"/>
        <v>0</v>
      </c>
      <c r="M106" s="99">
        <f t="shared" si="32"/>
        <v>0</v>
      </c>
      <c r="N106" s="99">
        <f t="shared" si="32"/>
        <v>0</v>
      </c>
      <c r="O106" s="99">
        <f t="shared" si="32"/>
        <v>0</v>
      </c>
      <c r="P106" s="99">
        <f t="shared" si="32"/>
        <v>0</v>
      </c>
      <c r="Q106" s="100">
        <f t="shared" si="32"/>
        <v>0</v>
      </c>
      <c r="R106" s="819"/>
    </row>
    <row r="107" spans="1:18" s="95" customFormat="1" ht="12.75" customHeight="1" thickBot="1">
      <c r="A107" s="824"/>
      <c r="B107" s="842"/>
      <c r="C107" s="845"/>
      <c r="D107" s="848"/>
      <c r="E107" s="850"/>
      <c r="F107" s="101">
        <f>F103+F105</f>
        <v>370000</v>
      </c>
      <c r="G107" s="85" t="s">
        <v>26</v>
      </c>
      <c r="H107" s="102">
        <f aca="true" t="shared" si="33" ref="H107:Q107">H103+H105</f>
        <v>0</v>
      </c>
      <c r="I107" s="103">
        <f t="shared" si="33"/>
        <v>0</v>
      </c>
      <c r="J107" s="104">
        <f t="shared" si="33"/>
        <v>0</v>
      </c>
      <c r="K107" s="104">
        <f t="shared" si="33"/>
        <v>0</v>
      </c>
      <c r="L107" s="104">
        <f t="shared" si="33"/>
        <v>0</v>
      </c>
      <c r="M107" s="104">
        <f t="shared" si="33"/>
        <v>0</v>
      </c>
      <c r="N107" s="104">
        <f t="shared" si="33"/>
        <v>0</v>
      </c>
      <c r="O107" s="104">
        <f t="shared" si="33"/>
        <v>0</v>
      </c>
      <c r="P107" s="104">
        <f t="shared" si="33"/>
        <v>0</v>
      </c>
      <c r="Q107" s="105">
        <f t="shared" si="33"/>
        <v>0</v>
      </c>
      <c r="R107" s="820"/>
    </row>
    <row r="108" spans="1:18" s="95" customFormat="1" ht="12.75" customHeight="1">
      <c r="A108" s="823">
        <v>18</v>
      </c>
      <c r="B108" s="840" t="s">
        <v>83</v>
      </c>
      <c r="C108" s="843">
        <v>60017</v>
      </c>
      <c r="D108" s="846" t="s">
        <v>81</v>
      </c>
      <c r="E108" s="837">
        <v>2010</v>
      </c>
      <c r="F108" s="90" t="s">
        <v>14</v>
      </c>
      <c r="G108" s="59" t="s">
        <v>15</v>
      </c>
      <c r="H108" s="91">
        <v>0</v>
      </c>
      <c r="I108" s="92">
        <v>105000</v>
      </c>
      <c r="J108" s="93">
        <v>95000</v>
      </c>
      <c r="K108" s="93">
        <v>40699</v>
      </c>
      <c r="L108" s="93"/>
      <c r="M108" s="93"/>
      <c r="N108" s="93"/>
      <c r="O108" s="93"/>
      <c r="P108" s="93"/>
      <c r="Q108" s="94"/>
      <c r="R108" s="818">
        <f>SUM(J108:Q108)</f>
        <v>135699</v>
      </c>
    </row>
    <row r="109" spans="1:18" s="95" customFormat="1" ht="12.75" customHeight="1">
      <c r="A109" s="824"/>
      <c r="B109" s="841"/>
      <c r="C109" s="844"/>
      <c r="D109" s="847"/>
      <c r="E109" s="838"/>
      <c r="F109" s="96">
        <f>SUM(H108:Q108)</f>
        <v>240699</v>
      </c>
      <c r="G109" s="67" t="s">
        <v>16</v>
      </c>
      <c r="H109" s="97"/>
      <c r="I109" s="98"/>
      <c r="J109" s="99"/>
      <c r="K109" s="99"/>
      <c r="L109" s="99"/>
      <c r="M109" s="99"/>
      <c r="N109" s="99"/>
      <c r="O109" s="99"/>
      <c r="P109" s="99"/>
      <c r="Q109" s="100"/>
      <c r="R109" s="819"/>
    </row>
    <row r="110" spans="1:18" s="95" customFormat="1" ht="11.25" customHeight="1">
      <c r="A110" s="824"/>
      <c r="B110" s="841"/>
      <c r="C110" s="844"/>
      <c r="D110" s="847"/>
      <c r="E110" s="839"/>
      <c r="F110" s="96" t="s">
        <v>18</v>
      </c>
      <c r="G110" s="67" t="s">
        <v>23</v>
      </c>
      <c r="H110" s="97"/>
      <c r="I110" s="98"/>
      <c r="J110" s="99"/>
      <c r="K110" s="99"/>
      <c r="L110" s="99"/>
      <c r="M110" s="99"/>
      <c r="N110" s="99"/>
      <c r="O110" s="99"/>
      <c r="P110" s="99"/>
      <c r="Q110" s="100"/>
      <c r="R110" s="819"/>
    </row>
    <row r="111" spans="1:18" s="95" customFormat="1" ht="12" customHeight="1">
      <c r="A111" s="824"/>
      <c r="B111" s="841"/>
      <c r="C111" s="844"/>
      <c r="D111" s="847"/>
      <c r="E111" s="849">
        <v>2013</v>
      </c>
      <c r="F111" s="96">
        <f>SUM(H110:Q110)</f>
        <v>0</v>
      </c>
      <c r="G111" s="67" t="s">
        <v>24</v>
      </c>
      <c r="H111" s="97"/>
      <c r="I111" s="98"/>
      <c r="J111" s="99"/>
      <c r="K111" s="99"/>
      <c r="L111" s="99"/>
      <c r="M111" s="99"/>
      <c r="N111" s="99"/>
      <c r="O111" s="99"/>
      <c r="P111" s="99"/>
      <c r="Q111" s="100"/>
      <c r="R111" s="819"/>
    </row>
    <row r="112" spans="1:18" s="95" customFormat="1" ht="12.75" customHeight="1">
      <c r="A112" s="824"/>
      <c r="B112" s="841"/>
      <c r="C112" s="844"/>
      <c r="D112" s="847"/>
      <c r="E112" s="838"/>
      <c r="F112" s="96" t="s">
        <v>82</v>
      </c>
      <c r="G112" s="67" t="s">
        <v>25</v>
      </c>
      <c r="H112" s="97">
        <f aca="true" t="shared" si="34" ref="H112:Q112">H108+H110</f>
        <v>0</v>
      </c>
      <c r="I112" s="98">
        <f t="shared" si="34"/>
        <v>105000</v>
      </c>
      <c r="J112" s="99">
        <f t="shared" si="34"/>
        <v>95000</v>
      </c>
      <c r="K112" s="99">
        <f t="shared" si="34"/>
        <v>40699</v>
      </c>
      <c r="L112" s="99">
        <f t="shared" si="34"/>
        <v>0</v>
      </c>
      <c r="M112" s="99">
        <f t="shared" si="34"/>
        <v>0</v>
      </c>
      <c r="N112" s="99">
        <f t="shared" si="34"/>
        <v>0</v>
      </c>
      <c r="O112" s="99">
        <f t="shared" si="34"/>
        <v>0</v>
      </c>
      <c r="P112" s="99">
        <f t="shared" si="34"/>
        <v>0</v>
      </c>
      <c r="Q112" s="100">
        <f t="shared" si="34"/>
        <v>0</v>
      </c>
      <c r="R112" s="819"/>
    </row>
    <row r="113" spans="1:18" s="95" customFormat="1" ht="12.75" customHeight="1" thickBot="1">
      <c r="A113" s="825"/>
      <c r="B113" s="842"/>
      <c r="C113" s="845"/>
      <c r="D113" s="848"/>
      <c r="E113" s="850"/>
      <c r="F113" s="101">
        <f>F109+F111</f>
        <v>240699</v>
      </c>
      <c r="G113" s="85" t="s">
        <v>26</v>
      </c>
      <c r="H113" s="102">
        <f aca="true" t="shared" si="35" ref="H113:Q113">H109+H111</f>
        <v>0</v>
      </c>
      <c r="I113" s="103">
        <f t="shared" si="35"/>
        <v>0</v>
      </c>
      <c r="J113" s="104">
        <f t="shared" si="35"/>
        <v>0</v>
      </c>
      <c r="K113" s="104">
        <f t="shared" si="35"/>
        <v>0</v>
      </c>
      <c r="L113" s="104">
        <f t="shared" si="35"/>
        <v>0</v>
      </c>
      <c r="M113" s="104">
        <f t="shared" si="35"/>
        <v>0</v>
      </c>
      <c r="N113" s="104">
        <f t="shared" si="35"/>
        <v>0</v>
      </c>
      <c r="O113" s="104">
        <f t="shared" si="35"/>
        <v>0</v>
      </c>
      <c r="P113" s="104">
        <f t="shared" si="35"/>
        <v>0</v>
      </c>
      <c r="Q113" s="105">
        <f t="shared" si="35"/>
        <v>0</v>
      </c>
      <c r="R113" s="820"/>
    </row>
    <row r="114" spans="1:18" s="95" customFormat="1" ht="12.75" customHeight="1">
      <c r="A114" s="823">
        <v>19</v>
      </c>
      <c r="B114" s="840" t="s">
        <v>86</v>
      </c>
      <c r="C114" s="843">
        <v>60017</v>
      </c>
      <c r="D114" s="846" t="s">
        <v>81</v>
      </c>
      <c r="E114" s="837">
        <v>2010</v>
      </c>
      <c r="F114" s="90" t="s">
        <v>14</v>
      </c>
      <c r="G114" s="59" t="s">
        <v>15</v>
      </c>
      <c r="H114" s="91">
        <v>117987</v>
      </c>
      <c r="I114" s="92">
        <v>1918000</v>
      </c>
      <c r="J114" s="93">
        <v>1510000</v>
      </c>
      <c r="K114" s="93">
        <v>1167006</v>
      </c>
      <c r="L114" s="93"/>
      <c r="M114" s="93"/>
      <c r="N114" s="93"/>
      <c r="O114" s="93"/>
      <c r="P114" s="93"/>
      <c r="Q114" s="94"/>
      <c r="R114" s="818">
        <f>SUM(J114:Q114)</f>
        <v>2677006</v>
      </c>
    </row>
    <row r="115" spans="1:18" s="95" customFormat="1" ht="10.5" customHeight="1">
      <c r="A115" s="824"/>
      <c r="B115" s="841"/>
      <c r="C115" s="844"/>
      <c r="D115" s="847"/>
      <c r="E115" s="838"/>
      <c r="F115" s="96">
        <f>SUM(H114:Q114)</f>
        <v>4712993</v>
      </c>
      <c r="G115" s="67" t="s">
        <v>16</v>
      </c>
      <c r="H115" s="97"/>
      <c r="I115" s="98"/>
      <c r="J115" s="99"/>
      <c r="K115" s="99"/>
      <c r="L115" s="99"/>
      <c r="M115" s="99"/>
      <c r="N115" s="99"/>
      <c r="O115" s="99"/>
      <c r="P115" s="99"/>
      <c r="Q115" s="100"/>
      <c r="R115" s="819"/>
    </row>
    <row r="116" spans="1:18" s="95" customFormat="1" ht="11.25" customHeight="1">
      <c r="A116" s="824"/>
      <c r="B116" s="841"/>
      <c r="C116" s="844"/>
      <c r="D116" s="847"/>
      <c r="E116" s="839"/>
      <c r="F116" s="96" t="s">
        <v>18</v>
      </c>
      <c r="G116" s="67" t="s">
        <v>23</v>
      </c>
      <c r="H116" s="97"/>
      <c r="I116" s="98"/>
      <c r="J116" s="99"/>
      <c r="K116" s="99"/>
      <c r="L116" s="99"/>
      <c r="M116" s="99"/>
      <c r="N116" s="99"/>
      <c r="O116" s="99"/>
      <c r="P116" s="99"/>
      <c r="Q116" s="100"/>
      <c r="R116" s="819"/>
    </row>
    <row r="117" spans="1:18" s="95" customFormat="1" ht="12.75" customHeight="1">
      <c r="A117" s="824"/>
      <c r="B117" s="841"/>
      <c r="C117" s="844"/>
      <c r="D117" s="847"/>
      <c r="E117" s="849">
        <v>2013</v>
      </c>
      <c r="F117" s="96">
        <f>SUM(H116:Q116)</f>
        <v>0</v>
      </c>
      <c r="G117" s="67" t="s">
        <v>24</v>
      </c>
      <c r="H117" s="97"/>
      <c r="I117" s="98"/>
      <c r="J117" s="99"/>
      <c r="K117" s="99"/>
      <c r="L117" s="99"/>
      <c r="M117" s="99"/>
      <c r="N117" s="99"/>
      <c r="O117" s="99"/>
      <c r="P117" s="99"/>
      <c r="Q117" s="100"/>
      <c r="R117" s="819"/>
    </row>
    <row r="118" spans="1:18" s="95" customFormat="1" ht="12.75" customHeight="1">
      <c r="A118" s="824"/>
      <c r="B118" s="841"/>
      <c r="C118" s="844"/>
      <c r="D118" s="847"/>
      <c r="E118" s="838"/>
      <c r="F118" s="96" t="s">
        <v>82</v>
      </c>
      <c r="G118" s="67" t="s">
        <v>25</v>
      </c>
      <c r="H118" s="97">
        <f aca="true" t="shared" si="36" ref="H118:Q118">H114+H116</f>
        <v>117987</v>
      </c>
      <c r="I118" s="98">
        <f t="shared" si="36"/>
        <v>1918000</v>
      </c>
      <c r="J118" s="99">
        <f t="shared" si="36"/>
        <v>1510000</v>
      </c>
      <c r="K118" s="99">
        <f t="shared" si="36"/>
        <v>1167006</v>
      </c>
      <c r="L118" s="99">
        <f t="shared" si="36"/>
        <v>0</v>
      </c>
      <c r="M118" s="99">
        <f t="shared" si="36"/>
        <v>0</v>
      </c>
      <c r="N118" s="99">
        <f t="shared" si="36"/>
        <v>0</v>
      </c>
      <c r="O118" s="99">
        <f t="shared" si="36"/>
        <v>0</v>
      </c>
      <c r="P118" s="99">
        <f t="shared" si="36"/>
        <v>0</v>
      </c>
      <c r="Q118" s="100">
        <f t="shared" si="36"/>
        <v>0</v>
      </c>
      <c r="R118" s="819"/>
    </row>
    <row r="119" spans="1:18" s="95" customFormat="1" ht="12.75" customHeight="1" thickBot="1">
      <c r="A119" s="824"/>
      <c r="B119" s="842"/>
      <c r="C119" s="845"/>
      <c r="D119" s="848"/>
      <c r="E119" s="850"/>
      <c r="F119" s="101">
        <f>F115+F117</f>
        <v>4712993</v>
      </c>
      <c r="G119" s="85" t="s">
        <v>26</v>
      </c>
      <c r="H119" s="102">
        <f aca="true" t="shared" si="37" ref="H119:Q119">H115+H117</f>
        <v>0</v>
      </c>
      <c r="I119" s="103">
        <f t="shared" si="37"/>
        <v>0</v>
      </c>
      <c r="J119" s="104">
        <f t="shared" si="37"/>
        <v>0</v>
      </c>
      <c r="K119" s="104">
        <f t="shared" si="37"/>
        <v>0</v>
      </c>
      <c r="L119" s="104">
        <f t="shared" si="37"/>
        <v>0</v>
      </c>
      <c r="M119" s="104">
        <f t="shared" si="37"/>
        <v>0</v>
      </c>
      <c r="N119" s="104">
        <f t="shared" si="37"/>
        <v>0</v>
      </c>
      <c r="O119" s="104">
        <f t="shared" si="37"/>
        <v>0</v>
      </c>
      <c r="P119" s="104">
        <f t="shared" si="37"/>
        <v>0</v>
      </c>
      <c r="Q119" s="105">
        <f t="shared" si="37"/>
        <v>0</v>
      </c>
      <c r="R119" s="820"/>
    </row>
    <row r="120" spans="1:18" s="95" customFormat="1" ht="12.75" customHeight="1">
      <c r="A120" s="823">
        <v>20</v>
      </c>
      <c r="B120" s="840" t="s">
        <v>87</v>
      </c>
      <c r="C120" s="843">
        <v>60017</v>
      </c>
      <c r="D120" s="846" t="s">
        <v>81</v>
      </c>
      <c r="E120" s="837">
        <v>2010</v>
      </c>
      <c r="F120" s="90" t="s">
        <v>14</v>
      </c>
      <c r="G120" s="59" t="s">
        <v>15</v>
      </c>
      <c r="H120" s="91">
        <v>0</v>
      </c>
      <c r="I120" s="92">
        <v>80000</v>
      </c>
      <c r="J120" s="93">
        <v>80000</v>
      </c>
      <c r="K120" s="93">
        <v>153000</v>
      </c>
      <c r="L120" s="93"/>
      <c r="M120" s="93"/>
      <c r="N120" s="93"/>
      <c r="O120" s="93"/>
      <c r="P120" s="93"/>
      <c r="Q120" s="94"/>
      <c r="R120" s="818">
        <f>SUM(J120:Q120)</f>
        <v>233000</v>
      </c>
    </row>
    <row r="121" spans="1:18" s="95" customFormat="1" ht="12.75" customHeight="1">
      <c r="A121" s="824"/>
      <c r="B121" s="841"/>
      <c r="C121" s="844"/>
      <c r="D121" s="847"/>
      <c r="E121" s="838"/>
      <c r="F121" s="96">
        <f>SUM(H120:Q120)</f>
        <v>313000</v>
      </c>
      <c r="G121" s="67" t="s">
        <v>16</v>
      </c>
      <c r="H121" s="97"/>
      <c r="I121" s="98"/>
      <c r="J121" s="99"/>
      <c r="K121" s="99"/>
      <c r="L121" s="99"/>
      <c r="M121" s="99"/>
      <c r="N121" s="99"/>
      <c r="O121" s="99"/>
      <c r="P121" s="99"/>
      <c r="Q121" s="100"/>
      <c r="R121" s="819"/>
    </row>
    <row r="122" spans="1:18" s="95" customFormat="1" ht="12.75" customHeight="1">
      <c r="A122" s="824"/>
      <c r="B122" s="841"/>
      <c r="C122" s="844"/>
      <c r="D122" s="847"/>
      <c r="E122" s="839"/>
      <c r="F122" s="96" t="s">
        <v>18</v>
      </c>
      <c r="G122" s="67" t="s">
        <v>23</v>
      </c>
      <c r="H122" s="97"/>
      <c r="I122" s="98"/>
      <c r="J122" s="99"/>
      <c r="K122" s="99"/>
      <c r="L122" s="99"/>
      <c r="M122" s="99"/>
      <c r="N122" s="99"/>
      <c r="O122" s="99"/>
      <c r="P122" s="99"/>
      <c r="Q122" s="100"/>
      <c r="R122" s="819"/>
    </row>
    <row r="123" spans="1:18" s="95" customFormat="1" ht="12.75" customHeight="1">
      <c r="A123" s="824"/>
      <c r="B123" s="841"/>
      <c r="C123" s="844"/>
      <c r="D123" s="847"/>
      <c r="E123" s="849">
        <v>2013</v>
      </c>
      <c r="F123" s="96">
        <f>SUM(H122:Q122)</f>
        <v>0</v>
      </c>
      <c r="G123" s="67" t="s">
        <v>24</v>
      </c>
      <c r="H123" s="97"/>
      <c r="I123" s="98"/>
      <c r="J123" s="99"/>
      <c r="K123" s="99"/>
      <c r="L123" s="99"/>
      <c r="M123" s="99"/>
      <c r="N123" s="99"/>
      <c r="O123" s="99"/>
      <c r="P123" s="99"/>
      <c r="Q123" s="100"/>
      <c r="R123" s="819"/>
    </row>
    <row r="124" spans="1:18" s="95" customFormat="1" ht="12.75" customHeight="1">
      <c r="A124" s="824"/>
      <c r="B124" s="841"/>
      <c r="C124" s="844"/>
      <c r="D124" s="847"/>
      <c r="E124" s="838"/>
      <c r="F124" s="96" t="s">
        <v>82</v>
      </c>
      <c r="G124" s="67" t="s">
        <v>25</v>
      </c>
      <c r="H124" s="97">
        <f aca="true" t="shared" si="38" ref="H124:Q124">H120+H122</f>
        <v>0</v>
      </c>
      <c r="I124" s="98">
        <f t="shared" si="38"/>
        <v>80000</v>
      </c>
      <c r="J124" s="99">
        <f t="shared" si="38"/>
        <v>80000</v>
      </c>
      <c r="K124" s="99">
        <f t="shared" si="38"/>
        <v>153000</v>
      </c>
      <c r="L124" s="99">
        <f t="shared" si="38"/>
        <v>0</v>
      </c>
      <c r="M124" s="99">
        <f t="shared" si="38"/>
        <v>0</v>
      </c>
      <c r="N124" s="99">
        <f t="shared" si="38"/>
        <v>0</v>
      </c>
      <c r="O124" s="99">
        <f t="shared" si="38"/>
        <v>0</v>
      </c>
      <c r="P124" s="99">
        <f t="shared" si="38"/>
        <v>0</v>
      </c>
      <c r="Q124" s="100">
        <f t="shared" si="38"/>
        <v>0</v>
      </c>
      <c r="R124" s="819"/>
    </row>
    <row r="125" spans="1:18" s="95" customFormat="1" ht="12.75" customHeight="1" thickBot="1">
      <c r="A125" s="825"/>
      <c r="B125" s="842"/>
      <c r="C125" s="845"/>
      <c r="D125" s="848"/>
      <c r="E125" s="850"/>
      <c r="F125" s="101">
        <f>F121+F123</f>
        <v>313000</v>
      </c>
      <c r="G125" s="85" t="s">
        <v>26</v>
      </c>
      <c r="H125" s="102">
        <f aca="true" t="shared" si="39" ref="H125:Q125">H121+H123</f>
        <v>0</v>
      </c>
      <c r="I125" s="103">
        <f t="shared" si="39"/>
        <v>0</v>
      </c>
      <c r="J125" s="104">
        <f t="shared" si="39"/>
        <v>0</v>
      </c>
      <c r="K125" s="104">
        <f t="shared" si="39"/>
        <v>0</v>
      </c>
      <c r="L125" s="104">
        <f t="shared" si="39"/>
        <v>0</v>
      </c>
      <c r="M125" s="104">
        <f t="shared" si="39"/>
        <v>0</v>
      </c>
      <c r="N125" s="104">
        <f t="shared" si="39"/>
        <v>0</v>
      </c>
      <c r="O125" s="104">
        <f t="shared" si="39"/>
        <v>0</v>
      </c>
      <c r="P125" s="104">
        <f t="shared" si="39"/>
        <v>0</v>
      </c>
      <c r="Q125" s="105">
        <f t="shared" si="39"/>
        <v>0</v>
      </c>
      <c r="R125" s="820"/>
    </row>
    <row r="126" spans="1:18" s="95" customFormat="1" ht="12.75" customHeight="1">
      <c r="A126" s="823">
        <v>21</v>
      </c>
      <c r="B126" s="840" t="s">
        <v>90</v>
      </c>
      <c r="C126" s="843">
        <v>90001</v>
      </c>
      <c r="D126" s="846" t="s">
        <v>81</v>
      </c>
      <c r="E126" s="837">
        <v>2007</v>
      </c>
      <c r="F126" s="90" t="s">
        <v>14</v>
      </c>
      <c r="G126" s="59" t="s">
        <v>15</v>
      </c>
      <c r="H126" s="91">
        <v>628884</v>
      </c>
      <c r="I126" s="92">
        <f>53230+740000</f>
        <v>793230</v>
      </c>
      <c r="J126" s="93">
        <v>178350</v>
      </c>
      <c r="K126" s="93"/>
      <c r="L126" s="93"/>
      <c r="M126" s="93"/>
      <c r="N126" s="93"/>
      <c r="O126" s="93"/>
      <c r="P126" s="93"/>
      <c r="Q126" s="94"/>
      <c r="R126" s="818">
        <f>SUM(J126:Q126)+740000</f>
        <v>918350</v>
      </c>
    </row>
    <row r="127" spans="1:18" s="95" customFormat="1" ht="12" customHeight="1">
      <c r="A127" s="824"/>
      <c r="B127" s="841"/>
      <c r="C127" s="844"/>
      <c r="D127" s="847"/>
      <c r="E127" s="838"/>
      <c r="F127" s="96">
        <f>SUM(H126:Q126)</f>
        <v>1600464</v>
      </c>
      <c r="G127" s="67" t="s">
        <v>16</v>
      </c>
      <c r="H127" s="97"/>
      <c r="I127" s="98"/>
      <c r="J127" s="99"/>
      <c r="K127" s="99"/>
      <c r="L127" s="99"/>
      <c r="M127" s="99"/>
      <c r="N127" s="99"/>
      <c r="O127" s="99"/>
      <c r="P127" s="99"/>
      <c r="Q127" s="100"/>
      <c r="R127" s="819"/>
    </row>
    <row r="128" spans="1:18" s="95" customFormat="1" ht="11.25" customHeight="1">
      <c r="A128" s="824"/>
      <c r="B128" s="841"/>
      <c r="C128" s="844"/>
      <c r="D128" s="847"/>
      <c r="E128" s="839"/>
      <c r="F128" s="96" t="s">
        <v>18</v>
      </c>
      <c r="G128" s="67" t="s">
        <v>23</v>
      </c>
      <c r="H128" s="97"/>
      <c r="I128" s="98"/>
      <c r="J128" s="99"/>
      <c r="K128" s="99"/>
      <c r="L128" s="99"/>
      <c r="M128" s="99"/>
      <c r="N128" s="99"/>
      <c r="O128" s="99"/>
      <c r="P128" s="99"/>
      <c r="Q128" s="100"/>
      <c r="R128" s="819"/>
    </row>
    <row r="129" spans="1:18" s="95" customFormat="1" ht="11.25" customHeight="1">
      <c r="A129" s="824"/>
      <c r="B129" s="841"/>
      <c r="C129" s="844"/>
      <c r="D129" s="847"/>
      <c r="E129" s="849">
        <v>2012</v>
      </c>
      <c r="F129" s="96">
        <f>SUM(H128:Q128)</f>
        <v>0</v>
      </c>
      <c r="G129" s="67" t="s">
        <v>24</v>
      </c>
      <c r="H129" s="97"/>
      <c r="I129" s="98"/>
      <c r="J129" s="99"/>
      <c r="K129" s="99"/>
      <c r="L129" s="99"/>
      <c r="M129" s="99"/>
      <c r="N129" s="99"/>
      <c r="O129" s="99"/>
      <c r="P129" s="99"/>
      <c r="Q129" s="100"/>
      <c r="R129" s="819"/>
    </row>
    <row r="130" spans="1:18" s="95" customFormat="1" ht="12" customHeight="1">
      <c r="A130" s="824"/>
      <c r="B130" s="841"/>
      <c r="C130" s="844"/>
      <c r="D130" s="847"/>
      <c r="E130" s="838"/>
      <c r="F130" s="96" t="s">
        <v>82</v>
      </c>
      <c r="G130" s="67" t="s">
        <v>25</v>
      </c>
      <c r="H130" s="97">
        <f aca="true" t="shared" si="40" ref="H130:Q130">H126+H128</f>
        <v>628884</v>
      </c>
      <c r="I130" s="98">
        <f t="shared" si="40"/>
        <v>793230</v>
      </c>
      <c r="J130" s="99">
        <f t="shared" si="40"/>
        <v>178350</v>
      </c>
      <c r="K130" s="99">
        <f t="shared" si="40"/>
        <v>0</v>
      </c>
      <c r="L130" s="99">
        <f t="shared" si="40"/>
        <v>0</v>
      </c>
      <c r="M130" s="99">
        <f t="shared" si="40"/>
        <v>0</v>
      </c>
      <c r="N130" s="99">
        <f t="shared" si="40"/>
        <v>0</v>
      </c>
      <c r="O130" s="99">
        <f t="shared" si="40"/>
        <v>0</v>
      </c>
      <c r="P130" s="99">
        <f t="shared" si="40"/>
        <v>0</v>
      </c>
      <c r="Q130" s="100">
        <f t="shared" si="40"/>
        <v>0</v>
      </c>
      <c r="R130" s="819"/>
    </row>
    <row r="131" spans="1:18" s="95" customFormat="1" ht="12.75" customHeight="1" thickBot="1">
      <c r="A131" s="824"/>
      <c r="B131" s="842"/>
      <c r="C131" s="845"/>
      <c r="D131" s="848"/>
      <c r="E131" s="850"/>
      <c r="F131" s="101">
        <f>F127+F129</f>
        <v>1600464</v>
      </c>
      <c r="G131" s="85" t="s">
        <v>26</v>
      </c>
      <c r="H131" s="102">
        <f aca="true" t="shared" si="41" ref="H131:Q131">H127+H129</f>
        <v>0</v>
      </c>
      <c r="I131" s="103">
        <f t="shared" si="41"/>
        <v>0</v>
      </c>
      <c r="J131" s="104">
        <f t="shared" si="41"/>
        <v>0</v>
      </c>
      <c r="K131" s="104">
        <f t="shared" si="41"/>
        <v>0</v>
      </c>
      <c r="L131" s="104">
        <f t="shared" si="41"/>
        <v>0</v>
      </c>
      <c r="M131" s="104">
        <f t="shared" si="41"/>
        <v>0</v>
      </c>
      <c r="N131" s="104">
        <f t="shared" si="41"/>
        <v>0</v>
      </c>
      <c r="O131" s="104">
        <f t="shared" si="41"/>
        <v>0</v>
      </c>
      <c r="P131" s="104">
        <f t="shared" si="41"/>
        <v>0</v>
      </c>
      <c r="Q131" s="105">
        <f t="shared" si="41"/>
        <v>0</v>
      </c>
      <c r="R131" s="820"/>
    </row>
    <row r="132" spans="1:18" s="95" customFormat="1" ht="12.75" customHeight="1">
      <c r="A132" s="823">
        <v>22</v>
      </c>
      <c r="B132" s="840" t="s">
        <v>91</v>
      </c>
      <c r="C132" s="843">
        <v>90001</v>
      </c>
      <c r="D132" s="846" t="s">
        <v>81</v>
      </c>
      <c r="E132" s="837">
        <v>2007</v>
      </c>
      <c r="F132" s="90" t="s">
        <v>14</v>
      </c>
      <c r="G132" s="59" t="s">
        <v>15</v>
      </c>
      <c r="H132" s="91">
        <v>8913589</v>
      </c>
      <c r="I132" s="92">
        <f>4100813+4339000</f>
        <v>8439813</v>
      </c>
      <c r="J132" s="93">
        <v>6000000</v>
      </c>
      <c r="K132" s="93">
        <v>5951001</v>
      </c>
      <c r="L132" s="93">
        <v>2755896</v>
      </c>
      <c r="M132" s="93"/>
      <c r="N132" s="93"/>
      <c r="O132" s="93"/>
      <c r="P132" s="93"/>
      <c r="Q132" s="94"/>
      <c r="R132" s="818">
        <f>SUM(J132:Q132)+740000</f>
        <v>15446897</v>
      </c>
    </row>
    <row r="133" spans="1:18" s="95" customFormat="1" ht="11.25" customHeight="1">
      <c r="A133" s="824"/>
      <c r="B133" s="841"/>
      <c r="C133" s="844"/>
      <c r="D133" s="847"/>
      <c r="E133" s="838"/>
      <c r="F133" s="96">
        <f>SUM(H132:Q132)</f>
        <v>32060299</v>
      </c>
      <c r="G133" s="67" t="s">
        <v>16</v>
      </c>
      <c r="H133" s="97"/>
      <c r="I133" s="98"/>
      <c r="J133" s="99"/>
      <c r="K133" s="99"/>
      <c r="L133" s="99"/>
      <c r="M133" s="99"/>
      <c r="N133" s="99"/>
      <c r="O133" s="99"/>
      <c r="P133" s="99"/>
      <c r="Q133" s="100"/>
      <c r="R133" s="819"/>
    </row>
    <row r="134" spans="1:18" s="95" customFormat="1" ht="12.75" customHeight="1">
      <c r="A134" s="824"/>
      <c r="B134" s="841"/>
      <c r="C134" s="844"/>
      <c r="D134" s="847"/>
      <c r="E134" s="839"/>
      <c r="F134" s="96" t="s">
        <v>18</v>
      </c>
      <c r="G134" s="67" t="s">
        <v>23</v>
      </c>
      <c r="H134" s="97"/>
      <c r="I134" s="98"/>
      <c r="J134" s="99"/>
      <c r="K134" s="99"/>
      <c r="L134" s="99"/>
      <c r="M134" s="99"/>
      <c r="N134" s="99"/>
      <c r="O134" s="99"/>
      <c r="P134" s="99"/>
      <c r="Q134" s="100"/>
      <c r="R134" s="819"/>
    </row>
    <row r="135" spans="1:18" s="95" customFormat="1" ht="12.75" customHeight="1">
      <c r="A135" s="824"/>
      <c r="B135" s="841"/>
      <c r="C135" s="844"/>
      <c r="D135" s="847"/>
      <c r="E135" s="849">
        <v>2014</v>
      </c>
      <c r="F135" s="96">
        <f>SUM(H134:Q134)</f>
        <v>0</v>
      </c>
      <c r="G135" s="67" t="s">
        <v>24</v>
      </c>
      <c r="H135" s="97"/>
      <c r="I135" s="98"/>
      <c r="J135" s="99"/>
      <c r="K135" s="99"/>
      <c r="L135" s="99"/>
      <c r="M135" s="99"/>
      <c r="N135" s="99"/>
      <c r="O135" s="99"/>
      <c r="P135" s="99"/>
      <c r="Q135" s="100"/>
      <c r="R135" s="819"/>
    </row>
    <row r="136" spans="1:18" s="95" customFormat="1" ht="12.75" customHeight="1">
      <c r="A136" s="824"/>
      <c r="B136" s="841"/>
      <c r="C136" s="844"/>
      <c r="D136" s="847"/>
      <c r="E136" s="838"/>
      <c r="F136" s="96" t="s">
        <v>82</v>
      </c>
      <c r="G136" s="67" t="s">
        <v>25</v>
      </c>
      <c r="H136" s="97">
        <f aca="true" t="shared" si="42" ref="H136:Q136">H132+H134</f>
        <v>8913589</v>
      </c>
      <c r="I136" s="98">
        <f t="shared" si="42"/>
        <v>8439813</v>
      </c>
      <c r="J136" s="99">
        <f t="shared" si="42"/>
        <v>6000000</v>
      </c>
      <c r="K136" s="99">
        <f t="shared" si="42"/>
        <v>5951001</v>
      </c>
      <c r="L136" s="99">
        <f t="shared" si="42"/>
        <v>2755896</v>
      </c>
      <c r="M136" s="99">
        <f t="shared" si="42"/>
        <v>0</v>
      </c>
      <c r="N136" s="99">
        <f t="shared" si="42"/>
        <v>0</v>
      </c>
      <c r="O136" s="99">
        <f t="shared" si="42"/>
        <v>0</v>
      </c>
      <c r="P136" s="99">
        <f t="shared" si="42"/>
        <v>0</v>
      </c>
      <c r="Q136" s="100">
        <f t="shared" si="42"/>
        <v>0</v>
      </c>
      <c r="R136" s="819"/>
    </row>
    <row r="137" spans="1:18" s="95" customFormat="1" ht="12.75" customHeight="1" thickBot="1">
      <c r="A137" s="825"/>
      <c r="B137" s="842"/>
      <c r="C137" s="845"/>
      <c r="D137" s="848"/>
      <c r="E137" s="850"/>
      <c r="F137" s="101">
        <f>F133+F135</f>
        <v>32060299</v>
      </c>
      <c r="G137" s="85" t="s">
        <v>26</v>
      </c>
      <c r="H137" s="102">
        <f aca="true" t="shared" si="43" ref="H137:Q137">H133+H135</f>
        <v>0</v>
      </c>
      <c r="I137" s="103">
        <f t="shared" si="43"/>
        <v>0</v>
      </c>
      <c r="J137" s="104">
        <f t="shared" si="43"/>
        <v>0</v>
      </c>
      <c r="K137" s="104">
        <f t="shared" si="43"/>
        <v>0</v>
      </c>
      <c r="L137" s="104">
        <f t="shared" si="43"/>
        <v>0</v>
      </c>
      <c r="M137" s="104">
        <f t="shared" si="43"/>
        <v>0</v>
      </c>
      <c r="N137" s="104">
        <f t="shared" si="43"/>
        <v>0</v>
      </c>
      <c r="O137" s="104">
        <f t="shared" si="43"/>
        <v>0</v>
      </c>
      <c r="P137" s="104">
        <f t="shared" si="43"/>
        <v>0</v>
      </c>
      <c r="Q137" s="105">
        <f t="shared" si="43"/>
        <v>0</v>
      </c>
      <c r="R137" s="820"/>
    </row>
    <row r="138" spans="1:18" s="95" customFormat="1" ht="12.75" customHeight="1">
      <c r="A138" s="823">
        <v>23</v>
      </c>
      <c r="B138" s="840" t="s">
        <v>92</v>
      </c>
      <c r="C138" s="843">
        <v>90003</v>
      </c>
      <c r="D138" s="846" t="s">
        <v>81</v>
      </c>
      <c r="E138" s="837">
        <v>2007</v>
      </c>
      <c r="F138" s="90" t="s">
        <v>14</v>
      </c>
      <c r="G138" s="59" t="s">
        <v>15</v>
      </c>
      <c r="H138" s="91">
        <v>11002340</v>
      </c>
      <c r="I138" s="92">
        <f>3273388+359318</f>
        <v>3632706</v>
      </c>
      <c r="J138" s="93">
        <f>438412+2015775</f>
        <v>2454187</v>
      </c>
      <c r="K138" s="93">
        <v>1682256</v>
      </c>
      <c r="L138" s="93"/>
      <c r="M138" s="93"/>
      <c r="N138" s="93"/>
      <c r="O138" s="93"/>
      <c r="P138" s="93"/>
      <c r="Q138" s="94"/>
      <c r="R138" s="818">
        <f>SUM(J138:Q138)+359318</f>
        <v>4495761</v>
      </c>
    </row>
    <row r="139" spans="1:18" s="95" customFormat="1" ht="11.25" customHeight="1">
      <c r="A139" s="824"/>
      <c r="B139" s="841"/>
      <c r="C139" s="844"/>
      <c r="D139" s="847"/>
      <c r="E139" s="838"/>
      <c r="F139" s="96">
        <f>SUM(H138:Q138)</f>
        <v>18771489</v>
      </c>
      <c r="G139" s="67" t="s">
        <v>16</v>
      </c>
      <c r="H139" s="97"/>
      <c r="I139" s="98"/>
      <c r="J139" s="99"/>
      <c r="K139" s="99"/>
      <c r="L139" s="99"/>
      <c r="M139" s="99"/>
      <c r="N139" s="99"/>
      <c r="O139" s="99"/>
      <c r="P139" s="99"/>
      <c r="Q139" s="100"/>
      <c r="R139" s="819"/>
    </row>
    <row r="140" spans="1:18" s="95" customFormat="1" ht="11.25" customHeight="1">
      <c r="A140" s="824"/>
      <c r="B140" s="841"/>
      <c r="C140" s="844"/>
      <c r="D140" s="847"/>
      <c r="E140" s="839"/>
      <c r="F140" s="96" t="s">
        <v>18</v>
      </c>
      <c r="G140" s="67" t="s">
        <v>23</v>
      </c>
      <c r="H140" s="97"/>
      <c r="I140" s="98"/>
      <c r="J140" s="99"/>
      <c r="K140" s="99"/>
      <c r="L140" s="99"/>
      <c r="M140" s="99"/>
      <c r="N140" s="99"/>
      <c r="O140" s="99"/>
      <c r="P140" s="99"/>
      <c r="Q140" s="100"/>
      <c r="R140" s="819"/>
    </row>
    <row r="141" spans="1:18" s="95" customFormat="1" ht="12.75" customHeight="1">
      <c r="A141" s="824"/>
      <c r="B141" s="841"/>
      <c r="C141" s="844"/>
      <c r="D141" s="847"/>
      <c r="E141" s="849">
        <v>2013</v>
      </c>
      <c r="F141" s="96">
        <f>SUM(H140:Q140)</f>
        <v>0</v>
      </c>
      <c r="G141" s="67" t="s">
        <v>24</v>
      </c>
      <c r="H141" s="97"/>
      <c r="I141" s="98"/>
      <c r="J141" s="99"/>
      <c r="K141" s="99"/>
      <c r="L141" s="99"/>
      <c r="M141" s="99"/>
      <c r="N141" s="99"/>
      <c r="O141" s="99"/>
      <c r="P141" s="99"/>
      <c r="Q141" s="100"/>
      <c r="R141" s="819"/>
    </row>
    <row r="142" spans="1:18" s="95" customFormat="1" ht="12.75" customHeight="1">
      <c r="A142" s="824"/>
      <c r="B142" s="841"/>
      <c r="C142" s="844"/>
      <c r="D142" s="847"/>
      <c r="E142" s="838"/>
      <c r="F142" s="96" t="s">
        <v>82</v>
      </c>
      <c r="G142" s="67" t="s">
        <v>25</v>
      </c>
      <c r="H142" s="97">
        <f aca="true" t="shared" si="44" ref="H142:Q142">H138+H140</f>
        <v>11002340</v>
      </c>
      <c r="I142" s="98">
        <f t="shared" si="44"/>
        <v>3632706</v>
      </c>
      <c r="J142" s="99">
        <f t="shared" si="44"/>
        <v>2454187</v>
      </c>
      <c r="K142" s="99">
        <f t="shared" si="44"/>
        <v>1682256</v>
      </c>
      <c r="L142" s="99">
        <f t="shared" si="44"/>
        <v>0</v>
      </c>
      <c r="M142" s="99">
        <f t="shared" si="44"/>
        <v>0</v>
      </c>
      <c r="N142" s="99">
        <f t="shared" si="44"/>
        <v>0</v>
      </c>
      <c r="O142" s="99">
        <f t="shared" si="44"/>
        <v>0</v>
      </c>
      <c r="P142" s="99">
        <f t="shared" si="44"/>
        <v>0</v>
      </c>
      <c r="Q142" s="100">
        <f t="shared" si="44"/>
        <v>0</v>
      </c>
      <c r="R142" s="819"/>
    </row>
    <row r="143" spans="1:18" s="95" customFormat="1" ht="12.75" customHeight="1" thickBot="1">
      <c r="A143" s="825"/>
      <c r="B143" s="842"/>
      <c r="C143" s="845"/>
      <c r="D143" s="848"/>
      <c r="E143" s="850"/>
      <c r="F143" s="101">
        <f>F139+F141</f>
        <v>18771489</v>
      </c>
      <c r="G143" s="85" t="s">
        <v>26</v>
      </c>
      <c r="H143" s="102">
        <f aca="true" t="shared" si="45" ref="H143:Q143">H139+H141</f>
        <v>0</v>
      </c>
      <c r="I143" s="103">
        <f t="shared" si="45"/>
        <v>0</v>
      </c>
      <c r="J143" s="104">
        <f t="shared" si="45"/>
        <v>0</v>
      </c>
      <c r="K143" s="104">
        <f t="shared" si="45"/>
        <v>0</v>
      </c>
      <c r="L143" s="104">
        <f t="shared" si="45"/>
        <v>0</v>
      </c>
      <c r="M143" s="104">
        <f t="shared" si="45"/>
        <v>0</v>
      </c>
      <c r="N143" s="104">
        <f t="shared" si="45"/>
        <v>0</v>
      </c>
      <c r="O143" s="104">
        <f t="shared" si="45"/>
        <v>0</v>
      </c>
      <c r="P143" s="104">
        <f t="shared" si="45"/>
        <v>0</v>
      </c>
      <c r="Q143" s="105">
        <f t="shared" si="45"/>
        <v>0</v>
      </c>
      <c r="R143" s="820"/>
    </row>
    <row r="144" spans="1:18" s="95" customFormat="1" ht="12.75" customHeight="1">
      <c r="A144" s="823">
        <v>24</v>
      </c>
      <c r="B144" s="840" t="s">
        <v>93</v>
      </c>
      <c r="C144" s="843">
        <v>90003</v>
      </c>
      <c r="D144" s="846" t="s">
        <v>81</v>
      </c>
      <c r="E144" s="837">
        <v>2007</v>
      </c>
      <c r="F144" s="90" t="s">
        <v>14</v>
      </c>
      <c r="G144" s="59" t="s">
        <v>15</v>
      </c>
      <c r="H144" s="91">
        <v>3051142</v>
      </c>
      <c r="I144" s="92">
        <f>412822+2920000</f>
        <v>3332822</v>
      </c>
      <c r="J144" s="93">
        <v>2978400</v>
      </c>
      <c r="K144" s="93"/>
      <c r="L144" s="93"/>
      <c r="M144" s="93"/>
      <c r="N144" s="93"/>
      <c r="O144" s="93"/>
      <c r="P144" s="93"/>
      <c r="Q144" s="94"/>
      <c r="R144" s="818">
        <f>SUM(J144:Q144)+2920000</f>
        <v>5898400</v>
      </c>
    </row>
    <row r="145" spans="1:18" s="95" customFormat="1" ht="12.75" customHeight="1">
      <c r="A145" s="824"/>
      <c r="B145" s="841"/>
      <c r="C145" s="844"/>
      <c r="D145" s="847"/>
      <c r="E145" s="838"/>
      <c r="F145" s="96">
        <f>SUM(H144:Q144)</f>
        <v>9362364</v>
      </c>
      <c r="G145" s="67" t="s">
        <v>16</v>
      </c>
      <c r="H145" s="97"/>
      <c r="I145" s="98"/>
      <c r="J145" s="99"/>
      <c r="K145" s="99"/>
      <c r="L145" s="99"/>
      <c r="M145" s="99"/>
      <c r="N145" s="99"/>
      <c r="O145" s="99"/>
      <c r="P145" s="99"/>
      <c r="Q145" s="100"/>
      <c r="R145" s="819"/>
    </row>
    <row r="146" spans="1:18" s="95" customFormat="1" ht="12.75" customHeight="1">
      <c r="A146" s="824"/>
      <c r="B146" s="841"/>
      <c r="C146" s="844"/>
      <c r="D146" s="847"/>
      <c r="E146" s="839"/>
      <c r="F146" s="96" t="s">
        <v>18</v>
      </c>
      <c r="G146" s="67" t="s">
        <v>23</v>
      </c>
      <c r="H146" s="97"/>
      <c r="I146" s="98"/>
      <c r="J146" s="99"/>
      <c r="K146" s="99"/>
      <c r="L146" s="99"/>
      <c r="M146" s="99"/>
      <c r="N146" s="99"/>
      <c r="O146" s="99"/>
      <c r="P146" s="99"/>
      <c r="Q146" s="100"/>
      <c r="R146" s="819"/>
    </row>
    <row r="147" spans="1:18" s="95" customFormat="1" ht="12.75" customHeight="1">
      <c r="A147" s="824"/>
      <c r="B147" s="841"/>
      <c r="C147" s="844"/>
      <c r="D147" s="847"/>
      <c r="E147" s="849">
        <v>2012</v>
      </c>
      <c r="F147" s="96">
        <f>SUM(H146:Q146)</f>
        <v>0</v>
      </c>
      <c r="G147" s="67" t="s">
        <v>24</v>
      </c>
      <c r="H147" s="97"/>
      <c r="I147" s="98"/>
      <c r="J147" s="99"/>
      <c r="K147" s="99"/>
      <c r="L147" s="99"/>
      <c r="M147" s="99"/>
      <c r="N147" s="99"/>
      <c r="O147" s="99"/>
      <c r="P147" s="99"/>
      <c r="Q147" s="100"/>
      <c r="R147" s="819"/>
    </row>
    <row r="148" spans="1:18" s="95" customFormat="1" ht="12.75" customHeight="1">
      <c r="A148" s="824"/>
      <c r="B148" s="841"/>
      <c r="C148" s="844"/>
      <c r="D148" s="847"/>
      <c r="E148" s="838"/>
      <c r="F148" s="96" t="s">
        <v>82</v>
      </c>
      <c r="G148" s="67" t="s">
        <v>25</v>
      </c>
      <c r="H148" s="97">
        <f aca="true" t="shared" si="46" ref="H148:Q148">H144+H146</f>
        <v>3051142</v>
      </c>
      <c r="I148" s="98">
        <f t="shared" si="46"/>
        <v>3332822</v>
      </c>
      <c r="J148" s="99">
        <f t="shared" si="46"/>
        <v>2978400</v>
      </c>
      <c r="K148" s="99">
        <f t="shared" si="46"/>
        <v>0</v>
      </c>
      <c r="L148" s="99">
        <f t="shared" si="46"/>
        <v>0</v>
      </c>
      <c r="M148" s="99">
        <f t="shared" si="46"/>
        <v>0</v>
      </c>
      <c r="N148" s="99">
        <f t="shared" si="46"/>
        <v>0</v>
      </c>
      <c r="O148" s="99">
        <f t="shared" si="46"/>
        <v>0</v>
      </c>
      <c r="P148" s="99">
        <f t="shared" si="46"/>
        <v>0</v>
      </c>
      <c r="Q148" s="100">
        <f t="shared" si="46"/>
        <v>0</v>
      </c>
      <c r="R148" s="819"/>
    </row>
    <row r="149" spans="1:18" s="95" customFormat="1" ht="12.75" customHeight="1" thickBot="1">
      <c r="A149" s="825"/>
      <c r="B149" s="842"/>
      <c r="C149" s="845"/>
      <c r="D149" s="848"/>
      <c r="E149" s="850"/>
      <c r="F149" s="101">
        <f>F145+F147</f>
        <v>9362364</v>
      </c>
      <c r="G149" s="85" t="s">
        <v>26</v>
      </c>
      <c r="H149" s="102">
        <f aca="true" t="shared" si="47" ref="H149:Q149">H145+H147</f>
        <v>0</v>
      </c>
      <c r="I149" s="103">
        <f t="shared" si="47"/>
        <v>0</v>
      </c>
      <c r="J149" s="104">
        <f t="shared" si="47"/>
        <v>0</v>
      </c>
      <c r="K149" s="104">
        <f t="shared" si="47"/>
        <v>0</v>
      </c>
      <c r="L149" s="104">
        <f t="shared" si="47"/>
        <v>0</v>
      </c>
      <c r="M149" s="104">
        <f t="shared" si="47"/>
        <v>0</v>
      </c>
      <c r="N149" s="104">
        <f t="shared" si="47"/>
        <v>0</v>
      </c>
      <c r="O149" s="104">
        <f t="shared" si="47"/>
        <v>0</v>
      </c>
      <c r="P149" s="104">
        <f t="shared" si="47"/>
        <v>0</v>
      </c>
      <c r="Q149" s="105">
        <f t="shared" si="47"/>
        <v>0</v>
      </c>
      <c r="R149" s="820"/>
    </row>
    <row r="150" spans="1:18" s="95" customFormat="1" ht="12.75" customHeight="1">
      <c r="A150" s="823">
        <v>25</v>
      </c>
      <c r="B150" s="840" t="s">
        <v>94</v>
      </c>
      <c r="C150" s="843">
        <v>90003</v>
      </c>
      <c r="D150" s="846" t="s">
        <v>81</v>
      </c>
      <c r="E150" s="837">
        <v>2007</v>
      </c>
      <c r="F150" s="90" t="s">
        <v>14</v>
      </c>
      <c r="G150" s="59" t="s">
        <v>15</v>
      </c>
      <c r="H150" s="91">
        <v>1528976</v>
      </c>
      <c r="I150" s="92">
        <f>163454+533333</f>
        <v>696787</v>
      </c>
      <c r="J150" s="93">
        <v>652800</v>
      </c>
      <c r="K150" s="93">
        <v>55488</v>
      </c>
      <c r="L150" s="93"/>
      <c r="M150" s="93"/>
      <c r="N150" s="93"/>
      <c r="O150" s="93"/>
      <c r="P150" s="93"/>
      <c r="Q150" s="94"/>
      <c r="R150" s="818">
        <f>SUM(J150:Q150)+533333</f>
        <v>1241621</v>
      </c>
    </row>
    <row r="151" spans="1:18" s="95" customFormat="1" ht="10.5" customHeight="1">
      <c r="A151" s="824"/>
      <c r="B151" s="841"/>
      <c r="C151" s="844"/>
      <c r="D151" s="847"/>
      <c r="E151" s="838"/>
      <c r="F151" s="96">
        <f>SUM(H150:Q150)</f>
        <v>2934051</v>
      </c>
      <c r="G151" s="67" t="s">
        <v>16</v>
      </c>
      <c r="H151" s="97"/>
      <c r="I151" s="98"/>
      <c r="J151" s="99"/>
      <c r="K151" s="99"/>
      <c r="L151" s="99"/>
      <c r="M151" s="99"/>
      <c r="N151" s="99"/>
      <c r="O151" s="99"/>
      <c r="P151" s="99"/>
      <c r="Q151" s="100"/>
      <c r="R151" s="819"/>
    </row>
    <row r="152" spans="1:18" s="95" customFormat="1" ht="10.5" customHeight="1">
      <c r="A152" s="824"/>
      <c r="B152" s="841"/>
      <c r="C152" s="844"/>
      <c r="D152" s="847"/>
      <c r="E152" s="839"/>
      <c r="F152" s="96" t="s">
        <v>18</v>
      </c>
      <c r="G152" s="67" t="s">
        <v>23</v>
      </c>
      <c r="H152" s="97"/>
      <c r="I152" s="98"/>
      <c r="J152" s="99"/>
      <c r="K152" s="99"/>
      <c r="L152" s="99"/>
      <c r="M152" s="99"/>
      <c r="N152" s="99"/>
      <c r="O152" s="99"/>
      <c r="P152" s="99"/>
      <c r="Q152" s="100"/>
      <c r="R152" s="819"/>
    </row>
    <row r="153" spans="1:18" s="95" customFormat="1" ht="10.5" customHeight="1">
      <c r="A153" s="824"/>
      <c r="B153" s="841"/>
      <c r="C153" s="844"/>
      <c r="D153" s="847"/>
      <c r="E153" s="849">
        <v>2013</v>
      </c>
      <c r="F153" s="96">
        <f>SUM(H152:Q152)</f>
        <v>0</v>
      </c>
      <c r="G153" s="67" t="s">
        <v>24</v>
      </c>
      <c r="H153" s="97"/>
      <c r="I153" s="98"/>
      <c r="J153" s="99"/>
      <c r="K153" s="99"/>
      <c r="L153" s="99"/>
      <c r="M153" s="99"/>
      <c r="N153" s="99"/>
      <c r="O153" s="99"/>
      <c r="P153" s="99"/>
      <c r="Q153" s="100"/>
      <c r="R153" s="819"/>
    </row>
    <row r="154" spans="1:18" s="95" customFormat="1" ht="12.75" customHeight="1">
      <c r="A154" s="824"/>
      <c r="B154" s="841"/>
      <c r="C154" s="844"/>
      <c r="D154" s="847"/>
      <c r="E154" s="838"/>
      <c r="F154" s="96" t="s">
        <v>82</v>
      </c>
      <c r="G154" s="67" t="s">
        <v>25</v>
      </c>
      <c r="H154" s="97">
        <f aca="true" t="shared" si="48" ref="H154:Q154">H150+H152</f>
        <v>1528976</v>
      </c>
      <c r="I154" s="98">
        <f t="shared" si="48"/>
        <v>696787</v>
      </c>
      <c r="J154" s="99">
        <f t="shared" si="48"/>
        <v>652800</v>
      </c>
      <c r="K154" s="99">
        <f t="shared" si="48"/>
        <v>55488</v>
      </c>
      <c r="L154" s="99">
        <f t="shared" si="48"/>
        <v>0</v>
      </c>
      <c r="M154" s="99">
        <f t="shared" si="48"/>
        <v>0</v>
      </c>
      <c r="N154" s="99">
        <f t="shared" si="48"/>
        <v>0</v>
      </c>
      <c r="O154" s="99">
        <f t="shared" si="48"/>
        <v>0</v>
      </c>
      <c r="P154" s="99">
        <f t="shared" si="48"/>
        <v>0</v>
      </c>
      <c r="Q154" s="100">
        <f t="shared" si="48"/>
        <v>0</v>
      </c>
      <c r="R154" s="819"/>
    </row>
    <row r="155" spans="1:18" s="95" customFormat="1" ht="12.75" customHeight="1" thickBot="1">
      <c r="A155" s="824"/>
      <c r="B155" s="842"/>
      <c r="C155" s="845"/>
      <c r="D155" s="848"/>
      <c r="E155" s="850"/>
      <c r="F155" s="101">
        <f>F151+F153</f>
        <v>2934051</v>
      </c>
      <c r="G155" s="85" t="s">
        <v>26</v>
      </c>
      <c r="H155" s="102">
        <f aca="true" t="shared" si="49" ref="H155:Q155">H151+H153</f>
        <v>0</v>
      </c>
      <c r="I155" s="103">
        <f t="shared" si="49"/>
        <v>0</v>
      </c>
      <c r="J155" s="104">
        <f t="shared" si="49"/>
        <v>0</v>
      </c>
      <c r="K155" s="104">
        <f t="shared" si="49"/>
        <v>0</v>
      </c>
      <c r="L155" s="104">
        <f t="shared" si="49"/>
        <v>0</v>
      </c>
      <c r="M155" s="104">
        <f t="shared" si="49"/>
        <v>0</v>
      </c>
      <c r="N155" s="104">
        <f t="shared" si="49"/>
        <v>0</v>
      </c>
      <c r="O155" s="104">
        <f t="shared" si="49"/>
        <v>0</v>
      </c>
      <c r="P155" s="104">
        <f t="shared" si="49"/>
        <v>0</v>
      </c>
      <c r="Q155" s="105">
        <f t="shared" si="49"/>
        <v>0</v>
      </c>
      <c r="R155" s="820"/>
    </row>
    <row r="156" spans="1:18" s="95" customFormat="1" ht="12.75" customHeight="1">
      <c r="A156" s="823">
        <v>26</v>
      </c>
      <c r="B156" s="840" t="s">
        <v>95</v>
      </c>
      <c r="C156" s="843">
        <v>90003</v>
      </c>
      <c r="D156" s="846" t="s">
        <v>81</v>
      </c>
      <c r="E156" s="837">
        <v>2007</v>
      </c>
      <c r="F156" s="90" t="s">
        <v>14</v>
      </c>
      <c r="G156" s="59" t="s">
        <v>15</v>
      </c>
      <c r="H156" s="91">
        <v>1639359</v>
      </c>
      <c r="I156" s="92">
        <f>201653+625000</f>
        <v>826653</v>
      </c>
      <c r="J156" s="93">
        <f>765000</f>
        <v>765000</v>
      </c>
      <c r="K156" s="93">
        <f>65025</f>
        <v>65025</v>
      </c>
      <c r="L156" s="93"/>
      <c r="M156" s="93"/>
      <c r="N156" s="93"/>
      <c r="O156" s="93"/>
      <c r="P156" s="93"/>
      <c r="Q156" s="94"/>
      <c r="R156" s="818">
        <f>SUM(J156:Q156)+625000</f>
        <v>1455025</v>
      </c>
    </row>
    <row r="157" spans="1:18" s="95" customFormat="1" ht="12" customHeight="1">
      <c r="A157" s="824"/>
      <c r="B157" s="841"/>
      <c r="C157" s="844"/>
      <c r="D157" s="847"/>
      <c r="E157" s="838"/>
      <c r="F157" s="96">
        <f>SUM(H156:Q156)</f>
        <v>3296037</v>
      </c>
      <c r="G157" s="67" t="s">
        <v>16</v>
      </c>
      <c r="H157" s="97"/>
      <c r="I157" s="98"/>
      <c r="J157" s="99"/>
      <c r="K157" s="99"/>
      <c r="L157" s="99"/>
      <c r="M157" s="99"/>
      <c r="N157" s="99"/>
      <c r="O157" s="99"/>
      <c r="P157" s="99"/>
      <c r="Q157" s="100"/>
      <c r="R157" s="819"/>
    </row>
    <row r="158" spans="1:18" s="95" customFormat="1" ht="12" customHeight="1">
      <c r="A158" s="824"/>
      <c r="B158" s="841"/>
      <c r="C158" s="844"/>
      <c r="D158" s="847"/>
      <c r="E158" s="839"/>
      <c r="F158" s="96" t="s">
        <v>18</v>
      </c>
      <c r="G158" s="67" t="s">
        <v>23</v>
      </c>
      <c r="H158" s="97"/>
      <c r="I158" s="98"/>
      <c r="J158" s="99"/>
      <c r="K158" s="99"/>
      <c r="L158" s="99"/>
      <c r="M158" s="99"/>
      <c r="N158" s="99"/>
      <c r="O158" s="99"/>
      <c r="P158" s="99"/>
      <c r="Q158" s="100"/>
      <c r="R158" s="819"/>
    </row>
    <row r="159" spans="1:18" s="95" customFormat="1" ht="12" customHeight="1">
      <c r="A159" s="824"/>
      <c r="B159" s="841"/>
      <c r="C159" s="844"/>
      <c r="D159" s="847"/>
      <c r="E159" s="849">
        <v>2013</v>
      </c>
      <c r="F159" s="96">
        <f>SUM(H158:Q158)</f>
        <v>0</v>
      </c>
      <c r="G159" s="67" t="s">
        <v>24</v>
      </c>
      <c r="H159" s="97"/>
      <c r="I159" s="98"/>
      <c r="J159" s="99"/>
      <c r="K159" s="99"/>
      <c r="L159" s="99"/>
      <c r="M159" s="99"/>
      <c r="N159" s="99"/>
      <c r="O159" s="99"/>
      <c r="P159" s="99"/>
      <c r="Q159" s="100"/>
      <c r="R159" s="819"/>
    </row>
    <row r="160" spans="1:18" s="95" customFormat="1" ht="12.75" customHeight="1">
      <c r="A160" s="824"/>
      <c r="B160" s="841"/>
      <c r="C160" s="844"/>
      <c r="D160" s="847"/>
      <c r="E160" s="838"/>
      <c r="F160" s="96" t="s">
        <v>82</v>
      </c>
      <c r="G160" s="67" t="s">
        <v>25</v>
      </c>
      <c r="H160" s="97">
        <f aca="true" t="shared" si="50" ref="H160:Q160">H156+H158</f>
        <v>1639359</v>
      </c>
      <c r="I160" s="98">
        <f t="shared" si="50"/>
        <v>826653</v>
      </c>
      <c r="J160" s="99">
        <f t="shared" si="50"/>
        <v>765000</v>
      </c>
      <c r="K160" s="99">
        <f t="shared" si="50"/>
        <v>65025</v>
      </c>
      <c r="L160" s="99">
        <f t="shared" si="50"/>
        <v>0</v>
      </c>
      <c r="M160" s="99">
        <f t="shared" si="50"/>
        <v>0</v>
      </c>
      <c r="N160" s="99">
        <f t="shared" si="50"/>
        <v>0</v>
      </c>
      <c r="O160" s="99">
        <f t="shared" si="50"/>
        <v>0</v>
      </c>
      <c r="P160" s="99">
        <f t="shared" si="50"/>
        <v>0</v>
      </c>
      <c r="Q160" s="100">
        <f t="shared" si="50"/>
        <v>0</v>
      </c>
      <c r="R160" s="819"/>
    </row>
    <row r="161" spans="1:18" s="95" customFormat="1" ht="12.75" customHeight="1" thickBot="1">
      <c r="A161" s="825"/>
      <c r="B161" s="842"/>
      <c r="C161" s="845"/>
      <c r="D161" s="848"/>
      <c r="E161" s="850"/>
      <c r="F161" s="101">
        <f>F157+F159</f>
        <v>3296037</v>
      </c>
      <c r="G161" s="85" t="s">
        <v>26</v>
      </c>
      <c r="H161" s="102">
        <f aca="true" t="shared" si="51" ref="H161:Q161">H157+H159</f>
        <v>0</v>
      </c>
      <c r="I161" s="103">
        <f t="shared" si="51"/>
        <v>0</v>
      </c>
      <c r="J161" s="104">
        <f t="shared" si="51"/>
        <v>0</v>
      </c>
      <c r="K161" s="104">
        <f t="shared" si="51"/>
        <v>0</v>
      </c>
      <c r="L161" s="104">
        <f t="shared" si="51"/>
        <v>0</v>
      </c>
      <c r="M161" s="104">
        <f t="shared" si="51"/>
        <v>0</v>
      </c>
      <c r="N161" s="104">
        <f t="shared" si="51"/>
        <v>0</v>
      </c>
      <c r="O161" s="104">
        <f t="shared" si="51"/>
        <v>0</v>
      </c>
      <c r="P161" s="104">
        <f t="shared" si="51"/>
        <v>0</v>
      </c>
      <c r="Q161" s="105">
        <f t="shared" si="51"/>
        <v>0</v>
      </c>
      <c r="R161" s="820"/>
    </row>
    <row r="162" spans="1:18" s="95" customFormat="1" ht="12.75" customHeight="1">
      <c r="A162" s="823">
        <v>27</v>
      </c>
      <c r="B162" s="840" t="s">
        <v>96</v>
      </c>
      <c r="C162" s="843">
        <v>90003</v>
      </c>
      <c r="D162" s="846" t="s">
        <v>81</v>
      </c>
      <c r="E162" s="837">
        <v>2007</v>
      </c>
      <c r="F162" s="90" t="s">
        <v>14</v>
      </c>
      <c r="G162" s="59" t="s">
        <v>15</v>
      </c>
      <c r="H162" s="91">
        <v>6629379</v>
      </c>
      <c r="I162" s="92">
        <f>852844+2653125</f>
        <v>3505969</v>
      </c>
      <c r="J162" s="93">
        <f>699+3247425</f>
        <v>3248124</v>
      </c>
      <c r="K162" s="93">
        <v>276031</v>
      </c>
      <c r="L162" s="93"/>
      <c r="M162" s="93"/>
      <c r="N162" s="93"/>
      <c r="O162" s="93"/>
      <c r="P162" s="93"/>
      <c r="Q162" s="94"/>
      <c r="R162" s="818">
        <f>SUM(J162:Q162)+2653125</f>
        <v>6177280</v>
      </c>
    </row>
    <row r="163" spans="1:18" s="95" customFormat="1" ht="12" customHeight="1">
      <c r="A163" s="824"/>
      <c r="B163" s="841"/>
      <c r="C163" s="844"/>
      <c r="D163" s="847"/>
      <c r="E163" s="838"/>
      <c r="F163" s="96">
        <f>SUM(H162:Q162)</f>
        <v>13659503</v>
      </c>
      <c r="G163" s="67" t="s">
        <v>16</v>
      </c>
      <c r="H163" s="97"/>
      <c r="I163" s="98"/>
      <c r="J163" s="99"/>
      <c r="K163" s="99"/>
      <c r="L163" s="99"/>
      <c r="M163" s="99"/>
      <c r="N163" s="99"/>
      <c r="O163" s="99"/>
      <c r="P163" s="99"/>
      <c r="Q163" s="100"/>
      <c r="R163" s="819"/>
    </row>
    <row r="164" spans="1:18" s="95" customFormat="1" ht="11.25" customHeight="1">
      <c r="A164" s="824"/>
      <c r="B164" s="841"/>
      <c r="C164" s="844"/>
      <c r="D164" s="847"/>
      <c r="E164" s="839"/>
      <c r="F164" s="96" t="s">
        <v>18</v>
      </c>
      <c r="G164" s="67" t="s">
        <v>23</v>
      </c>
      <c r="H164" s="97"/>
      <c r="I164" s="98"/>
      <c r="J164" s="99"/>
      <c r="K164" s="99"/>
      <c r="L164" s="99"/>
      <c r="M164" s="99"/>
      <c r="N164" s="99"/>
      <c r="O164" s="99"/>
      <c r="P164" s="99"/>
      <c r="Q164" s="100"/>
      <c r="R164" s="819"/>
    </row>
    <row r="165" spans="1:18" s="95" customFormat="1" ht="12" customHeight="1">
      <c r="A165" s="824"/>
      <c r="B165" s="841"/>
      <c r="C165" s="844"/>
      <c r="D165" s="847"/>
      <c r="E165" s="849">
        <v>2013</v>
      </c>
      <c r="F165" s="96">
        <f>SUM(H164:Q164)</f>
        <v>0</v>
      </c>
      <c r="G165" s="67" t="s">
        <v>24</v>
      </c>
      <c r="H165" s="97"/>
      <c r="I165" s="98"/>
      <c r="J165" s="99"/>
      <c r="K165" s="99"/>
      <c r="L165" s="99"/>
      <c r="M165" s="99"/>
      <c r="N165" s="99"/>
      <c r="O165" s="99"/>
      <c r="P165" s="99"/>
      <c r="Q165" s="100"/>
      <c r="R165" s="819"/>
    </row>
    <row r="166" spans="1:18" s="95" customFormat="1" ht="12.75" customHeight="1">
      <c r="A166" s="824"/>
      <c r="B166" s="841"/>
      <c r="C166" s="844"/>
      <c r="D166" s="847"/>
      <c r="E166" s="838"/>
      <c r="F166" s="96" t="s">
        <v>82</v>
      </c>
      <c r="G166" s="67" t="s">
        <v>25</v>
      </c>
      <c r="H166" s="97">
        <f aca="true" t="shared" si="52" ref="H166:Q166">H162+H164</f>
        <v>6629379</v>
      </c>
      <c r="I166" s="98">
        <f t="shared" si="52"/>
        <v>3505969</v>
      </c>
      <c r="J166" s="99">
        <f t="shared" si="52"/>
        <v>3248124</v>
      </c>
      <c r="K166" s="99">
        <f t="shared" si="52"/>
        <v>276031</v>
      </c>
      <c r="L166" s="99">
        <f t="shared" si="52"/>
        <v>0</v>
      </c>
      <c r="M166" s="99">
        <f t="shared" si="52"/>
        <v>0</v>
      </c>
      <c r="N166" s="99">
        <f t="shared" si="52"/>
        <v>0</v>
      </c>
      <c r="O166" s="99">
        <f t="shared" si="52"/>
        <v>0</v>
      </c>
      <c r="P166" s="99">
        <f t="shared" si="52"/>
        <v>0</v>
      </c>
      <c r="Q166" s="100">
        <f t="shared" si="52"/>
        <v>0</v>
      </c>
      <c r="R166" s="819"/>
    </row>
    <row r="167" spans="1:18" s="95" customFormat="1" ht="12.75" customHeight="1" thickBot="1">
      <c r="A167" s="824"/>
      <c r="B167" s="842"/>
      <c r="C167" s="845"/>
      <c r="D167" s="848"/>
      <c r="E167" s="850"/>
      <c r="F167" s="101">
        <f>F163+F165</f>
        <v>13659503</v>
      </c>
      <c r="G167" s="85" t="s">
        <v>26</v>
      </c>
      <c r="H167" s="102">
        <f aca="true" t="shared" si="53" ref="H167:Q167">H163+H165</f>
        <v>0</v>
      </c>
      <c r="I167" s="103">
        <f t="shared" si="53"/>
        <v>0</v>
      </c>
      <c r="J167" s="104">
        <f t="shared" si="53"/>
        <v>0</v>
      </c>
      <c r="K167" s="104">
        <f t="shared" si="53"/>
        <v>0</v>
      </c>
      <c r="L167" s="104">
        <f t="shared" si="53"/>
        <v>0</v>
      </c>
      <c r="M167" s="104">
        <f t="shared" si="53"/>
        <v>0</v>
      </c>
      <c r="N167" s="104">
        <f t="shared" si="53"/>
        <v>0</v>
      </c>
      <c r="O167" s="104">
        <f t="shared" si="53"/>
        <v>0</v>
      </c>
      <c r="P167" s="104">
        <f t="shared" si="53"/>
        <v>0</v>
      </c>
      <c r="Q167" s="105">
        <f t="shared" si="53"/>
        <v>0</v>
      </c>
      <c r="R167" s="820"/>
    </row>
    <row r="168" spans="1:18" s="95" customFormat="1" ht="12.75" customHeight="1">
      <c r="A168" s="823">
        <v>28</v>
      </c>
      <c r="B168" s="840" t="s">
        <v>97</v>
      </c>
      <c r="C168" s="843">
        <v>90004</v>
      </c>
      <c r="D168" s="846" t="s">
        <v>81</v>
      </c>
      <c r="E168" s="837">
        <v>2008</v>
      </c>
      <c r="F168" s="90" t="s">
        <v>14</v>
      </c>
      <c r="G168" s="59" t="s">
        <v>15</v>
      </c>
      <c r="H168" s="91">
        <v>640979</v>
      </c>
      <c r="I168" s="92">
        <f>93486+175000</f>
        <v>268486</v>
      </c>
      <c r="J168" s="93">
        <v>306000</v>
      </c>
      <c r="K168" s="93">
        <v>26010</v>
      </c>
      <c r="L168" s="93"/>
      <c r="M168" s="93"/>
      <c r="N168" s="93"/>
      <c r="O168" s="93"/>
      <c r="P168" s="93"/>
      <c r="Q168" s="94"/>
      <c r="R168" s="818">
        <f>SUM(J168:Q168)+175000</f>
        <v>507010</v>
      </c>
    </row>
    <row r="169" spans="1:18" s="95" customFormat="1" ht="12.75" customHeight="1">
      <c r="A169" s="824"/>
      <c r="B169" s="841"/>
      <c r="C169" s="844"/>
      <c r="D169" s="847"/>
      <c r="E169" s="838"/>
      <c r="F169" s="96">
        <f>SUM(H168:Q168)</f>
        <v>1241475</v>
      </c>
      <c r="G169" s="67" t="s">
        <v>16</v>
      </c>
      <c r="H169" s="97"/>
      <c r="I169" s="98"/>
      <c r="J169" s="99"/>
      <c r="K169" s="99"/>
      <c r="L169" s="99"/>
      <c r="M169" s="99"/>
      <c r="N169" s="99"/>
      <c r="O169" s="99"/>
      <c r="P169" s="99"/>
      <c r="Q169" s="100"/>
      <c r="R169" s="819"/>
    </row>
    <row r="170" spans="1:18" s="95" customFormat="1" ht="11.25" customHeight="1">
      <c r="A170" s="824"/>
      <c r="B170" s="841"/>
      <c r="C170" s="844"/>
      <c r="D170" s="847"/>
      <c r="E170" s="839"/>
      <c r="F170" s="96" t="s">
        <v>18</v>
      </c>
      <c r="G170" s="67" t="s">
        <v>23</v>
      </c>
      <c r="H170" s="97"/>
      <c r="I170" s="98"/>
      <c r="J170" s="99"/>
      <c r="K170" s="99"/>
      <c r="L170" s="99"/>
      <c r="M170" s="99"/>
      <c r="N170" s="99"/>
      <c r="O170" s="99"/>
      <c r="P170" s="99"/>
      <c r="Q170" s="100"/>
      <c r="R170" s="819"/>
    </row>
    <row r="171" spans="1:18" s="95" customFormat="1" ht="12.75" customHeight="1">
      <c r="A171" s="824"/>
      <c r="B171" s="841"/>
      <c r="C171" s="844"/>
      <c r="D171" s="847"/>
      <c r="E171" s="849">
        <v>2013</v>
      </c>
      <c r="F171" s="96">
        <f>SUM(H170:Q170)</f>
        <v>0</v>
      </c>
      <c r="G171" s="67" t="s">
        <v>24</v>
      </c>
      <c r="H171" s="97"/>
      <c r="I171" s="98"/>
      <c r="J171" s="99"/>
      <c r="K171" s="99"/>
      <c r="L171" s="99"/>
      <c r="M171" s="99"/>
      <c r="N171" s="99"/>
      <c r="O171" s="99"/>
      <c r="P171" s="99"/>
      <c r="Q171" s="100"/>
      <c r="R171" s="819"/>
    </row>
    <row r="172" spans="1:18" s="95" customFormat="1" ht="12.75" customHeight="1">
      <c r="A172" s="824"/>
      <c r="B172" s="841"/>
      <c r="C172" s="844"/>
      <c r="D172" s="847"/>
      <c r="E172" s="838"/>
      <c r="F172" s="96" t="s">
        <v>82</v>
      </c>
      <c r="G172" s="67" t="s">
        <v>25</v>
      </c>
      <c r="H172" s="97">
        <f aca="true" t="shared" si="54" ref="H172:Q172">H168+H170</f>
        <v>640979</v>
      </c>
      <c r="I172" s="98">
        <f t="shared" si="54"/>
        <v>268486</v>
      </c>
      <c r="J172" s="99">
        <f t="shared" si="54"/>
        <v>306000</v>
      </c>
      <c r="K172" s="99">
        <f t="shared" si="54"/>
        <v>26010</v>
      </c>
      <c r="L172" s="99">
        <f t="shared" si="54"/>
        <v>0</v>
      </c>
      <c r="M172" s="99">
        <f t="shared" si="54"/>
        <v>0</v>
      </c>
      <c r="N172" s="99">
        <f t="shared" si="54"/>
        <v>0</v>
      </c>
      <c r="O172" s="99">
        <f t="shared" si="54"/>
        <v>0</v>
      </c>
      <c r="P172" s="99">
        <f t="shared" si="54"/>
        <v>0</v>
      </c>
      <c r="Q172" s="100">
        <f t="shared" si="54"/>
        <v>0</v>
      </c>
      <c r="R172" s="819"/>
    </row>
    <row r="173" spans="1:18" s="95" customFormat="1" ht="12.75" customHeight="1" thickBot="1">
      <c r="A173" s="825"/>
      <c r="B173" s="842"/>
      <c r="C173" s="845"/>
      <c r="D173" s="848"/>
      <c r="E173" s="850"/>
      <c r="F173" s="101">
        <f>F169+F171</f>
        <v>1241475</v>
      </c>
      <c r="G173" s="85" t="s">
        <v>26</v>
      </c>
      <c r="H173" s="102">
        <f aca="true" t="shared" si="55" ref="H173:Q173">H169+H171</f>
        <v>0</v>
      </c>
      <c r="I173" s="103">
        <f t="shared" si="55"/>
        <v>0</v>
      </c>
      <c r="J173" s="104">
        <f t="shared" si="55"/>
        <v>0</v>
      </c>
      <c r="K173" s="104">
        <f t="shared" si="55"/>
        <v>0</v>
      </c>
      <c r="L173" s="104">
        <f t="shared" si="55"/>
        <v>0</v>
      </c>
      <c r="M173" s="104">
        <f t="shared" si="55"/>
        <v>0</v>
      </c>
      <c r="N173" s="104">
        <f t="shared" si="55"/>
        <v>0</v>
      </c>
      <c r="O173" s="104">
        <f t="shared" si="55"/>
        <v>0</v>
      </c>
      <c r="P173" s="104">
        <f t="shared" si="55"/>
        <v>0</v>
      </c>
      <c r="Q173" s="105">
        <f t="shared" si="55"/>
        <v>0</v>
      </c>
      <c r="R173" s="820"/>
    </row>
    <row r="174" spans="1:18" s="95" customFormat="1" ht="12.75" customHeight="1">
      <c r="A174" s="823">
        <v>29</v>
      </c>
      <c r="B174" s="840" t="s">
        <v>98</v>
      </c>
      <c r="C174" s="843">
        <v>90004</v>
      </c>
      <c r="D174" s="846" t="s">
        <v>81</v>
      </c>
      <c r="E174" s="837">
        <v>2010</v>
      </c>
      <c r="F174" s="90" t="s">
        <v>14</v>
      </c>
      <c r="G174" s="59" t="s">
        <v>15</v>
      </c>
      <c r="H174" s="91">
        <v>0</v>
      </c>
      <c r="I174" s="92">
        <f>18904+415000</f>
        <v>433904</v>
      </c>
      <c r="J174" s="93">
        <f>915727</f>
        <v>915727</v>
      </c>
      <c r="K174" s="93"/>
      <c r="L174" s="93"/>
      <c r="M174" s="93"/>
      <c r="N174" s="93"/>
      <c r="O174" s="93"/>
      <c r="P174" s="93"/>
      <c r="Q174" s="94"/>
      <c r="R174" s="818">
        <f>SUM(J174:Q174)</f>
        <v>915727</v>
      </c>
    </row>
    <row r="175" spans="1:18" s="95" customFormat="1" ht="12" customHeight="1">
      <c r="A175" s="824"/>
      <c r="B175" s="841"/>
      <c r="C175" s="844"/>
      <c r="D175" s="847"/>
      <c r="E175" s="838"/>
      <c r="F175" s="96">
        <f>SUM(H174:Q174)</f>
        <v>1349631</v>
      </c>
      <c r="G175" s="67" t="s">
        <v>16</v>
      </c>
      <c r="H175" s="97"/>
      <c r="I175" s="98"/>
      <c r="J175" s="99"/>
      <c r="K175" s="99"/>
      <c r="L175" s="99"/>
      <c r="M175" s="99"/>
      <c r="N175" s="99"/>
      <c r="O175" s="99"/>
      <c r="P175" s="99"/>
      <c r="Q175" s="100"/>
      <c r="R175" s="819"/>
    </row>
    <row r="176" spans="1:18" s="95" customFormat="1" ht="12" customHeight="1">
      <c r="A176" s="824"/>
      <c r="B176" s="841"/>
      <c r="C176" s="844"/>
      <c r="D176" s="847"/>
      <c r="E176" s="839"/>
      <c r="F176" s="96" t="s">
        <v>18</v>
      </c>
      <c r="G176" s="67" t="s">
        <v>23</v>
      </c>
      <c r="H176" s="97"/>
      <c r="I176" s="98"/>
      <c r="J176" s="99"/>
      <c r="K176" s="99"/>
      <c r="L176" s="99"/>
      <c r="M176" s="99"/>
      <c r="N176" s="99"/>
      <c r="O176" s="99"/>
      <c r="P176" s="99"/>
      <c r="Q176" s="100"/>
      <c r="R176" s="819"/>
    </row>
    <row r="177" spans="1:18" s="95" customFormat="1" ht="12" customHeight="1">
      <c r="A177" s="824"/>
      <c r="B177" s="841"/>
      <c r="C177" s="844"/>
      <c r="D177" s="847"/>
      <c r="E177" s="849">
        <v>2012</v>
      </c>
      <c r="F177" s="96">
        <f>SUM(H176:Q176)</f>
        <v>0</v>
      </c>
      <c r="G177" s="67" t="s">
        <v>24</v>
      </c>
      <c r="H177" s="97"/>
      <c r="I177" s="98"/>
      <c r="J177" s="99"/>
      <c r="K177" s="99"/>
      <c r="L177" s="99"/>
      <c r="M177" s="99"/>
      <c r="N177" s="99"/>
      <c r="O177" s="99"/>
      <c r="P177" s="99"/>
      <c r="Q177" s="100"/>
      <c r="R177" s="819"/>
    </row>
    <row r="178" spans="1:18" s="95" customFormat="1" ht="12.75" customHeight="1">
      <c r="A178" s="824"/>
      <c r="B178" s="841"/>
      <c r="C178" s="844"/>
      <c r="D178" s="847"/>
      <c r="E178" s="838"/>
      <c r="F178" s="96" t="s">
        <v>82</v>
      </c>
      <c r="G178" s="67" t="s">
        <v>25</v>
      </c>
      <c r="H178" s="97">
        <f aca="true" t="shared" si="56" ref="H178:Q178">H174+H176</f>
        <v>0</v>
      </c>
      <c r="I178" s="98">
        <f t="shared" si="56"/>
        <v>433904</v>
      </c>
      <c r="J178" s="99">
        <f t="shared" si="56"/>
        <v>915727</v>
      </c>
      <c r="K178" s="99">
        <f t="shared" si="56"/>
        <v>0</v>
      </c>
      <c r="L178" s="99">
        <f t="shared" si="56"/>
        <v>0</v>
      </c>
      <c r="M178" s="99">
        <f t="shared" si="56"/>
        <v>0</v>
      </c>
      <c r="N178" s="99">
        <f t="shared" si="56"/>
        <v>0</v>
      </c>
      <c r="O178" s="99">
        <f t="shared" si="56"/>
        <v>0</v>
      </c>
      <c r="P178" s="99">
        <f t="shared" si="56"/>
        <v>0</v>
      </c>
      <c r="Q178" s="100">
        <f t="shared" si="56"/>
        <v>0</v>
      </c>
      <c r="R178" s="819"/>
    </row>
    <row r="179" spans="1:18" s="95" customFormat="1" ht="12.75" customHeight="1" thickBot="1">
      <c r="A179" s="824"/>
      <c r="B179" s="842"/>
      <c r="C179" s="845"/>
      <c r="D179" s="848"/>
      <c r="E179" s="850"/>
      <c r="F179" s="101">
        <f>F175+F177</f>
        <v>1349631</v>
      </c>
      <c r="G179" s="85" t="s">
        <v>26</v>
      </c>
      <c r="H179" s="102">
        <f aca="true" t="shared" si="57" ref="H179:Q179">H175+H177</f>
        <v>0</v>
      </c>
      <c r="I179" s="103">
        <f t="shared" si="57"/>
        <v>0</v>
      </c>
      <c r="J179" s="104">
        <f t="shared" si="57"/>
        <v>0</v>
      </c>
      <c r="K179" s="104">
        <f t="shared" si="57"/>
        <v>0</v>
      </c>
      <c r="L179" s="104">
        <f t="shared" si="57"/>
        <v>0</v>
      </c>
      <c r="M179" s="104">
        <f t="shared" si="57"/>
        <v>0</v>
      </c>
      <c r="N179" s="104">
        <f t="shared" si="57"/>
        <v>0</v>
      </c>
      <c r="O179" s="104">
        <f t="shared" si="57"/>
        <v>0</v>
      </c>
      <c r="P179" s="104">
        <f t="shared" si="57"/>
        <v>0</v>
      </c>
      <c r="Q179" s="105">
        <f t="shared" si="57"/>
        <v>0</v>
      </c>
      <c r="R179" s="820"/>
    </row>
    <row r="180" spans="1:18" s="95" customFormat="1" ht="12.75" customHeight="1">
      <c r="A180" s="823">
        <v>30</v>
      </c>
      <c r="B180" s="840" t="s">
        <v>99</v>
      </c>
      <c r="C180" s="860" t="s">
        <v>100</v>
      </c>
      <c r="D180" s="846" t="s">
        <v>81</v>
      </c>
      <c r="E180" s="837">
        <v>2007</v>
      </c>
      <c r="F180" s="90" t="s">
        <v>14</v>
      </c>
      <c r="G180" s="59" t="s">
        <v>15</v>
      </c>
      <c r="H180" s="91">
        <v>972750</v>
      </c>
      <c r="I180" s="92">
        <v>302967</v>
      </c>
      <c r="J180" s="93">
        <v>306000</v>
      </c>
      <c r="K180" s="93">
        <v>309060</v>
      </c>
      <c r="L180" s="93">
        <v>312150</v>
      </c>
      <c r="M180" s="93">
        <v>248598</v>
      </c>
      <c r="N180" s="93"/>
      <c r="O180" s="93"/>
      <c r="P180" s="93"/>
      <c r="Q180" s="94"/>
      <c r="R180" s="818">
        <f>SUM(J180:Q180)</f>
        <v>1175808</v>
      </c>
    </row>
    <row r="181" spans="1:18" s="95" customFormat="1" ht="12" customHeight="1">
      <c r="A181" s="824"/>
      <c r="B181" s="841"/>
      <c r="C181" s="861"/>
      <c r="D181" s="847"/>
      <c r="E181" s="838"/>
      <c r="F181" s="96">
        <f>SUM(H180:Q180)</f>
        <v>2451525</v>
      </c>
      <c r="G181" s="67" t="s">
        <v>16</v>
      </c>
      <c r="H181" s="97"/>
      <c r="I181" s="98"/>
      <c r="J181" s="99"/>
      <c r="K181" s="99"/>
      <c r="L181" s="99"/>
      <c r="M181" s="99"/>
      <c r="N181" s="99"/>
      <c r="O181" s="99"/>
      <c r="P181" s="99"/>
      <c r="Q181" s="100"/>
      <c r="R181" s="819"/>
    </row>
    <row r="182" spans="1:18" s="95" customFormat="1" ht="12" customHeight="1">
      <c r="A182" s="824"/>
      <c r="B182" s="841"/>
      <c r="C182" s="861"/>
      <c r="D182" s="847"/>
      <c r="E182" s="839"/>
      <c r="F182" s="96" t="s">
        <v>18</v>
      </c>
      <c r="G182" s="67" t="s">
        <v>23</v>
      </c>
      <c r="H182" s="97"/>
      <c r="I182" s="98"/>
      <c r="J182" s="99"/>
      <c r="K182" s="99"/>
      <c r="L182" s="99"/>
      <c r="M182" s="99"/>
      <c r="N182" s="99"/>
      <c r="O182" s="99"/>
      <c r="P182" s="99"/>
      <c r="Q182" s="100"/>
      <c r="R182" s="819"/>
    </row>
    <row r="183" spans="1:18" s="95" customFormat="1" ht="12" customHeight="1">
      <c r="A183" s="824"/>
      <c r="B183" s="841"/>
      <c r="C183" s="861"/>
      <c r="D183" s="847"/>
      <c r="E183" s="849">
        <v>2015</v>
      </c>
      <c r="F183" s="96">
        <f>SUM(H182:Q182)</f>
        <v>0</v>
      </c>
      <c r="G183" s="67" t="s">
        <v>24</v>
      </c>
      <c r="H183" s="97"/>
      <c r="I183" s="98"/>
      <c r="J183" s="99"/>
      <c r="K183" s="99"/>
      <c r="L183" s="99"/>
      <c r="M183" s="99"/>
      <c r="N183" s="99"/>
      <c r="O183" s="99"/>
      <c r="P183" s="99"/>
      <c r="Q183" s="100"/>
      <c r="R183" s="819"/>
    </row>
    <row r="184" spans="1:18" s="95" customFormat="1" ht="12.75" customHeight="1">
      <c r="A184" s="824"/>
      <c r="B184" s="841"/>
      <c r="C184" s="861"/>
      <c r="D184" s="847"/>
      <c r="E184" s="838"/>
      <c r="F184" s="96" t="s">
        <v>82</v>
      </c>
      <c r="G184" s="67" t="s">
        <v>25</v>
      </c>
      <c r="H184" s="97">
        <f aca="true" t="shared" si="58" ref="H184:Q184">H180+H182</f>
        <v>972750</v>
      </c>
      <c r="I184" s="98">
        <f t="shared" si="58"/>
        <v>302967</v>
      </c>
      <c r="J184" s="99">
        <f t="shared" si="58"/>
        <v>306000</v>
      </c>
      <c r="K184" s="99">
        <f t="shared" si="58"/>
        <v>309060</v>
      </c>
      <c r="L184" s="99">
        <f t="shared" si="58"/>
        <v>312150</v>
      </c>
      <c r="M184" s="99">
        <f t="shared" si="58"/>
        <v>248598</v>
      </c>
      <c r="N184" s="99">
        <f t="shared" si="58"/>
        <v>0</v>
      </c>
      <c r="O184" s="99">
        <f t="shared" si="58"/>
        <v>0</v>
      </c>
      <c r="P184" s="99">
        <f t="shared" si="58"/>
        <v>0</v>
      </c>
      <c r="Q184" s="100">
        <f t="shared" si="58"/>
        <v>0</v>
      </c>
      <c r="R184" s="819"/>
    </row>
    <row r="185" spans="1:18" s="95" customFormat="1" ht="12.75" customHeight="1" thickBot="1">
      <c r="A185" s="825"/>
      <c r="B185" s="842"/>
      <c r="C185" s="862"/>
      <c r="D185" s="848"/>
      <c r="E185" s="850"/>
      <c r="F185" s="101">
        <f>F181+F183</f>
        <v>2451525</v>
      </c>
      <c r="G185" s="85" t="s">
        <v>26</v>
      </c>
      <c r="H185" s="102">
        <f aca="true" t="shared" si="59" ref="H185:Q185">H181+H183</f>
        <v>0</v>
      </c>
      <c r="I185" s="103">
        <f t="shared" si="59"/>
        <v>0</v>
      </c>
      <c r="J185" s="104">
        <f t="shared" si="59"/>
        <v>0</v>
      </c>
      <c r="K185" s="104">
        <f t="shared" si="59"/>
        <v>0</v>
      </c>
      <c r="L185" s="104">
        <f t="shared" si="59"/>
        <v>0</v>
      </c>
      <c r="M185" s="104">
        <f t="shared" si="59"/>
        <v>0</v>
      </c>
      <c r="N185" s="104">
        <f t="shared" si="59"/>
        <v>0</v>
      </c>
      <c r="O185" s="104">
        <f t="shared" si="59"/>
        <v>0</v>
      </c>
      <c r="P185" s="104">
        <f t="shared" si="59"/>
        <v>0</v>
      </c>
      <c r="Q185" s="105">
        <f t="shared" si="59"/>
        <v>0</v>
      </c>
      <c r="R185" s="820"/>
    </row>
    <row r="186" spans="1:18" s="95" customFormat="1" ht="12.75" customHeight="1">
      <c r="A186" s="823">
        <v>31</v>
      </c>
      <c r="B186" s="840" t="s">
        <v>101</v>
      </c>
      <c r="C186" s="843">
        <v>90015</v>
      </c>
      <c r="D186" s="846" t="s">
        <v>81</v>
      </c>
      <c r="E186" s="837">
        <v>2008</v>
      </c>
      <c r="F186" s="90" t="s">
        <v>14</v>
      </c>
      <c r="G186" s="59" t="s">
        <v>15</v>
      </c>
      <c r="H186" s="91">
        <v>7025343</v>
      </c>
      <c r="I186" s="92">
        <f>2147625+3525000</f>
        <v>5672625</v>
      </c>
      <c r="J186" s="93">
        <f>10932+7400000</f>
        <v>7410932</v>
      </c>
      <c r="K186" s="93">
        <v>7550000</v>
      </c>
      <c r="L186" s="93">
        <v>7700000</v>
      </c>
      <c r="M186" s="93">
        <v>4090000</v>
      </c>
      <c r="N186" s="93"/>
      <c r="O186" s="93"/>
      <c r="P186" s="93"/>
      <c r="Q186" s="94"/>
      <c r="R186" s="818">
        <f>SUM(J186:Q186)+3525000</f>
        <v>30275932</v>
      </c>
    </row>
    <row r="187" spans="1:18" s="95" customFormat="1" ht="11.25" customHeight="1">
      <c r="A187" s="824"/>
      <c r="B187" s="841"/>
      <c r="C187" s="844"/>
      <c r="D187" s="847"/>
      <c r="E187" s="838"/>
      <c r="F187" s="96">
        <f>SUM(H186:Q186)</f>
        <v>39448900</v>
      </c>
      <c r="G187" s="67" t="s">
        <v>16</v>
      </c>
      <c r="H187" s="97"/>
      <c r="I187" s="98"/>
      <c r="J187" s="99"/>
      <c r="K187" s="99"/>
      <c r="L187" s="99"/>
      <c r="M187" s="99"/>
      <c r="N187" s="99"/>
      <c r="O187" s="99"/>
      <c r="P187" s="99"/>
      <c r="Q187" s="100"/>
      <c r="R187" s="819"/>
    </row>
    <row r="188" spans="1:18" s="95" customFormat="1" ht="12" customHeight="1">
      <c r="A188" s="824"/>
      <c r="B188" s="841"/>
      <c r="C188" s="844"/>
      <c r="D188" s="847"/>
      <c r="E188" s="839"/>
      <c r="F188" s="96" t="s">
        <v>18</v>
      </c>
      <c r="G188" s="67" t="s">
        <v>23</v>
      </c>
      <c r="H188" s="97"/>
      <c r="I188" s="98"/>
      <c r="J188" s="99"/>
      <c r="K188" s="99"/>
      <c r="L188" s="99"/>
      <c r="M188" s="99"/>
      <c r="N188" s="99"/>
      <c r="O188" s="99"/>
      <c r="P188" s="99"/>
      <c r="Q188" s="100"/>
      <c r="R188" s="819"/>
    </row>
    <row r="189" spans="1:18" s="95" customFormat="1" ht="12" customHeight="1">
      <c r="A189" s="824"/>
      <c r="B189" s="841"/>
      <c r="C189" s="844"/>
      <c r="D189" s="847"/>
      <c r="E189" s="849">
        <v>2015</v>
      </c>
      <c r="F189" s="96">
        <f>SUM(H188:Q188)</f>
        <v>0</v>
      </c>
      <c r="G189" s="67" t="s">
        <v>24</v>
      </c>
      <c r="H189" s="97"/>
      <c r="I189" s="98"/>
      <c r="J189" s="99"/>
      <c r="K189" s="99"/>
      <c r="L189" s="99"/>
      <c r="M189" s="99"/>
      <c r="N189" s="99"/>
      <c r="O189" s="99"/>
      <c r="P189" s="99"/>
      <c r="Q189" s="100"/>
      <c r="R189" s="819"/>
    </row>
    <row r="190" spans="1:18" s="95" customFormat="1" ht="12.75" customHeight="1">
      <c r="A190" s="824"/>
      <c r="B190" s="841"/>
      <c r="C190" s="844"/>
      <c r="D190" s="847"/>
      <c r="E190" s="838"/>
      <c r="F190" s="96" t="s">
        <v>82</v>
      </c>
      <c r="G190" s="67" t="s">
        <v>25</v>
      </c>
      <c r="H190" s="97">
        <f aca="true" t="shared" si="60" ref="H190:Q190">H186+H188</f>
        <v>7025343</v>
      </c>
      <c r="I190" s="98">
        <f t="shared" si="60"/>
        <v>5672625</v>
      </c>
      <c r="J190" s="99">
        <f t="shared" si="60"/>
        <v>7410932</v>
      </c>
      <c r="K190" s="99">
        <f t="shared" si="60"/>
        <v>7550000</v>
      </c>
      <c r="L190" s="99">
        <f t="shared" si="60"/>
        <v>7700000</v>
      </c>
      <c r="M190" s="99">
        <f t="shared" si="60"/>
        <v>4090000</v>
      </c>
      <c r="N190" s="99">
        <f t="shared" si="60"/>
        <v>0</v>
      </c>
      <c r="O190" s="99">
        <f t="shared" si="60"/>
        <v>0</v>
      </c>
      <c r="P190" s="99">
        <f t="shared" si="60"/>
        <v>0</v>
      </c>
      <c r="Q190" s="100">
        <f t="shared" si="60"/>
        <v>0</v>
      </c>
      <c r="R190" s="819"/>
    </row>
    <row r="191" spans="1:18" s="95" customFormat="1" ht="12.75" customHeight="1" thickBot="1">
      <c r="A191" s="825"/>
      <c r="B191" s="842"/>
      <c r="C191" s="845"/>
      <c r="D191" s="848"/>
      <c r="E191" s="850"/>
      <c r="F191" s="101">
        <f>F187+F189</f>
        <v>39448900</v>
      </c>
      <c r="G191" s="85" t="s">
        <v>26</v>
      </c>
      <c r="H191" s="102">
        <f aca="true" t="shared" si="61" ref="H191:Q191">H187+H189</f>
        <v>0</v>
      </c>
      <c r="I191" s="103">
        <f t="shared" si="61"/>
        <v>0</v>
      </c>
      <c r="J191" s="104">
        <f t="shared" si="61"/>
        <v>0</v>
      </c>
      <c r="K191" s="104">
        <f t="shared" si="61"/>
        <v>0</v>
      </c>
      <c r="L191" s="104">
        <f t="shared" si="61"/>
        <v>0</v>
      </c>
      <c r="M191" s="104">
        <f t="shared" si="61"/>
        <v>0</v>
      </c>
      <c r="N191" s="104">
        <f t="shared" si="61"/>
        <v>0</v>
      </c>
      <c r="O191" s="104">
        <f t="shared" si="61"/>
        <v>0</v>
      </c>
      <c r="P191" s="104">
        <f t="shared" si="61"/>
        <v>0</v>
      </c>
      <c r="Q191" s="105">
        <f t="shared" si="61"/>
        <v>0</v>
      </c>
      <c r="R191" s="820"/>
    </row>
    <row r="192" spans="1:18" s="95" customFormat="1" ht="12.75" customHeight="1">
      <c r="A192" s="823">
        <v>32</v>
      </c>
      <c r="B192" s="840" t="s">
        <v>102</v>
      </c>
      <c r="C192" s="843">
        <v>90095</v>
      </c>
      <c r="D192" s="846" t="s">
        <v>81</v>
      </c>
      <c r="E192" s="837">
        <v>2010</v>
      </c>
      <c r="F192" s="90" t="s">
        <v>14</v>
      </c>
      <c r="G192" s="59" t="s">
        <v>15</v>
      </c>
      <c r="H192" s="91">
        <v>20551</v>
      </c>
      <c r="I192" s="92">
        <v>26753</v>
      </c>
      <c r="J192" s="93">
        <v>556</v>
      </c>
      <c r="K192" s="93"/>
      <c r="L192" s="93"/>
      <c r="M192" s="93"/>
      <c r="N192" s="93"/>
      <c r="O192" s="93"/>
      <c r="P192" s="93"/>
      <c r="Q192" s="94"/>
      <c r="R192" s="818">
        <f>SUM(J192:Q192)</f>
        <v>556</v>
      </c>
    </row>
    <row r="193" spans="1:18" s="95" customFormat="1" ht="12.75" customHeight="1">
      <c r="A193" s="824"/>
      <c r="B193" s="841"/>
      <c r="C193" s="844"/>
      <c r="D193" s="847"/>
      <c r="E193" s="838"/>
      <c r="F193" s="96">
        <f>SUM(H192:Q192)</f>
        <v>47860</v>
      </c>
      <c r="G193" s="67" t="s">
        <v>16</v>
      </c>
      <c r="H193" s="97"/>
      <c r="I193" s="98"/>
      <c r="J193" s="99"/>
      <c r="K193" s="99"/>
      <c r="L193" s="99"/>
      <c r="M193" s="99"/>
      <c r="N193" s="99"/>
      <c r="O193" s="99"/>
      <c r="P193" s="99"/>
      <c r="Q193" s="100"/>
      <c r="R193" s="819"/>
    </row>
    <row r="194" spans="1:18" s="95" customFormat="1" ht="12.75" customHeight="1">
      <c r="A194" s="824"/>
      <c r="B194" s="841"/>
      <c r="C194" s="844"/>
      <c r="D194" s="847"/>
      <c r="E194" s="839"/>
      <c r="F194" s="96" t="s">
        <v>18</v>
      </c>
      <c r="G194" s="67" t="s">
        <v>23</v>
      </c>
      <c r="H194" s="97"/>
      <c r="I194" s="98"/>
      <c r="J194" s="99"/>
      <c r="K194" s="99"/>
      <c r="L194" s="99"/>
      <c r="M194" s="99"/>
      <c r="N194" s="99"/>
      <c r="O194" s="99"/>
      <c r="P194" s="99"/>
      <c r="Q194" s="100"/>
      <c r="R194" s="819"/>
    </row>
    <row r="195" spans="1:18" s="95" customFormat="1" ht="12.75" customHeight="1">
      <c r="A195" s="824"/>
      <c r="B195" s="841"/>
      <c r="C195" s="844"/>
      <c r="D195" s="847"/>
      <c r="E195" s="849">
        <v>2012</v>
      </c>
      <c r="F195" s="96">
        <f>SUM(H194:Q194)</f>
        <v>0</v>
      </c>
      <c r="G195" s="67" t="s">
        <v>24</v>
      </c>
      <c r="H195" s="97"/>
      <c r="I195" s="98"/>
      <c r="J195" s="99"/>
      <c r="K195" s="99"/>
      <c r="L195" s="99"/>
      <c r="M195" s="99"/>
      <c r="N195" s="99"/>
      <c r="O195" s="99"/>
      <c r="P195" s="99"/>
      <c r="Q195" s="100"/>
      <c r="R195" s="819"/>
    </row>
    <row r="196" spans="1:18" s="95" customFormat="1" ht="12.75" customHeight="1">
      <c r="A196" s="824"/>
      <c r="B196" s="841"/>
      <c r="C196" s="844"/>
      <c r="D196" s="847"/>
      <c r="E196" s="838"/>
      <c r="F196" s="96" t="s">
        <v>82</v>
      </c>
      <c r="G196" s="67" t="s">
        <v>25</v>
      </c>
      <c r="H196" s="97">
        <f aca="true" t="shared" si="62" ref="H196:Q196">H192+H194</f>
        <v>20551</v>
      </c>
      <c r="I196" s="98">
        <f t="shared" si="62"/>
        <v>26753</v>
      </c>
      <c r="J196" s="99">
        <f t="shared" si="62"/>
        <v>556</v>
      </c>
      <c r="K196" s="99">
        <f t="shared" si="62"/>
        <v>0</v>
      </c>
      <c r="L196" s="99">
        <f t="shared" si="62"/>
        <v>0</v>
      </c>
      <c r="M196" s="99">
        <f t="shared" si="62"/>
        <v>0</v>
      </c>
      <c r="N196" s="99">
        <f t="shared" si="62"/>
        <v>0</v>
      </c>
      <c r="O196" s="99">
        <f t="shared" si="62"/>
        <v>0</v>
      </c>
      <c r="P196" s="99">
        <f t="shared" si="62"/>
        <v>0</v>
      </c>
      <c r="Q196" s="100">
        <f t="shared" si="62"/>
        <v>0</v>
      </c>
      <c r="R196" s="819"/>
    </row>
    <row r="197" spans="1:18" s="95" customFormat="1" ht="12.75" customHeight="1" thickBot="1">
      <c r="A197" s="825"/>
      <c r="B197" s="842"/>
      <c r="C197" s="845"/>
      <c r="D197" s="848"/>
      <c r="E197" s="850"/>
      <c r="F197" s="101">
        <f>F193+F195</f>
        <v>47860</v>
      </c>
      <c r="G197" s="85" t="s">
        <v>26</v>
      </c>
      <c r="H197" s="102">
        <f aca="true" t="shared" si="63" ref="H197:Q197">H193+H195</f>
        <v>0</v>
      </c>
      <c r="I197" s="103">
        <f t="shared" si="63"/>
        <v>0</v>
      </c>
      <c r="J197" s="104">
        <f t="shared" si="63"/>
        <v>0</v>
      </c>
      <c r="K197" s="104">
        <f t="shared" si="63"/>
        <v>0</v>
      </c>
      <c r="L197" s="104">
        <f t="shared" si="63"/>
        <v>0</v>
      </c>
      <c r="M197" s="104">
        <f t="shared" si="63"/>
        <v>0</v>
      </c>
      <c r="N197" s="104">
        <f t="shared" si="63"/>
        <v>0</v>
      </c>
      <c r="O197" s="104">
        <f t="shared" si="63"/>
        <v>0</v>
      </c>
      <c r="P197" s="104">
        <f t="shared" si="63"/>
        <v>0</v>
      </c>
      <c r="Q197" s="105">
        <f t="shared" si="63"/>
        <v>0</v>
      </c>
      <c r="R197" s="820"/>
    </row>
    <row r="198" spans="1:18" s="95" customFormat="1" ht="12.75" customHeight="1">
      <c r="A198" s="823">
        <v>33</v>
      </c>
      <c r="B198" s="840" t="s">
        <v>103</v>
      </c>
      <c r="C198" s="843">
        <v>90095</v>
      </c>
      <c r="D198" s="846" t="s">
        <v>81</v>
      </c>
      <c r="E198" s="837">
        <v>2008</v>
      </c>
      <c r="F198" s="90" t="s">
        <v>14</v>
      </c>
      <c r="G198" s="59" t="s">
        <v>15</v>
      </c>
      <c r="H198" s="91">
        <v>111430</v>
      </c>
      <c r="I198" s="92">
        <f>39389+36667</f>
        <v>76056</v>
      </c>
      <c r="J198" s="93">
        <f>30536+3400</f>
        <v>33936</v>
      </c>
      <c r="K198" s="93"/>
      <c r="L198" s="93"/>
      <c r="M198" s="93"/>
      <c r="N198" s="93"/>
      <c r="O198" s="93"/>
      <c r="P198" s="93"/>
      <c r="Q198" s="94"/>
      <c r="R198" s="818">
        <f>SUM(J198:Q198)</f>
        <v>33936</v>
      </c>
    </row>
    <row r="199" spans="1:18" s="95" customFormat="1" ht="10.5" customHeight="1">
      <c r="A199" s="824"/>
      <c r="B199" s="841"/>
      <c r="C199" s="844"/>
      <c r="D199" s="847"/>
      <c r="E199" s="838"/>
      <c r="F199" s="96">
        <f>SUM(H198:Q198)</f>
        <v>221422</v>
      </c>
      <c r="G199" s="67" t="s">
        <v>16</v>
      </c>
      <c r="H199" s="97"/>
      <c r="I199" s="98"/>
      <c r="J199" s="99"/>
      <c r="K199" s="99"/>
      <c r="L199" s="99"/>
      <c r="M199" s="99"/>
      <c r="N199" s="99"/>
      <c r="O199" s="99"/>
      <c r="P199" s="99"/>
      <c r="Q199" s="100"/>
      <c r="R199" s="819"/>
    </row>
    <row r="200" spans="1:18" s="95" customFormat="1" ht="10.5" customHeight="1">
      <c r="A200" s="824"/>
      <c r="B200" s="841"/>
      <c r="C200" s="844"/>
      <c r="D200" s="847"/>
      <c r="E200" s="839"/>
      <c r="F200" s="96" t="s">
        <v>18</v>
      </c>
      <c r="G200" s="67" t="s">
        <v>23</v>
      </c>
      <c r="H200" s="97"/>
      <c r="I200" s="98"/>
      <c r="J200" s="99"/>
      <c r="K200" s="99"/>
      <c r="L200" s="99"/>
      <c r="M200" s="99"/>
      <c r="N200" s="99"/>
      <c r="O200" s="99"/>
      <c r="P200" s="99"/>
      <c r="Q200" s="100"/>
      <c r="R200" s="819"/>
    </row>
    <row r="201" spans="1:18" s="95" customFormat="1" ht="10.5" customHeight="1">
      <c r="A201" s="824"/>
      <c r="B201" s="841"/>
      <c r="C201" s="844"/>
      <c r="D201" s="847"/>
      <c r="E201" s="849">
        <v>2012</v>
      </c>
      <c r="F201" s="96">
        <f>SUM(H200:Q200)</f>
        <v>0</v>
      </c>
      <c r="G201" s="67" t="s">
        <v>24</v>
      </c>
      <c r="H201" s="97"/>
      <c r="I201" s="98"/>
      <c r="J201" s="99"/>
      <c r="K201" s="99"/>
      <c r="L201" s="99"/>
      <c r="M201" s="99"/>
      <c r="N201" s="99"/>
      <c r="O201" s="99"/>
      <c r="P201" s="99"/>
      <c r="Q201" s="100"/>
      <c r="R201" s="819"/>
    </row>
    <row r="202" spans="1:18" s="95" customFormat="1" ht="12.75" customHeight="1">
      <c r="A202" s="824"/>
      <c r="B202" s="841"/>
      <c r="C202" s="844"/>
      <c r="D202" s="847"/>
      <c r="E202" s="838"/>
      <c r="F202" s="96" t="s">
        <v>82</v>
      </c>
      <c r="G202" s="67" t="s">
        <v>25</v>
      </c>
      <c r="H202" s="97">
        <f aca="true" t="shared" si="64" ref="H202:Q202">H198+H200</f>
        <v>111430</v>
      </c>
      <c r="I202" s="98">
        <f t="shared" si="64"/>
        <v>76056</v>
      </c>
      <c r="J202" s="99">
        <f t="shared" si="64"/>
        <v>33936</v>
      </c>
      <c r="K202" s="99">
        <f t="shared" si="64"/>
        <v>0</v>
      </c>
      <c r="L202" s="99">
        <f t="shared" si="64"/>
        <v>0</v>
      </c>
      <c r="M202" s="99">
        <f t="shared" si="64"/>
        <v>0</v>
      </c>
      <c r="N202" s="99">
        <f t="shared" si="64"/>
        <v>0</v>
      </c>
      <c r="O202" s="99">
        <f t="shared" si="64"/>
        <v>0</v>
      </c>
      <c r="P202" s="99">
        <f t="shared" si="64"/>
        <v>0</v>
      </c>
      <c r="Q202" s="100">
        <f t="shared" si="64"/>
        <v>0</v>
      </c>
      <c r="R202" s="819"/>
    </row>
    <row r="203" spans="1:18" s="95" customFormat="1" ht="12.75" customHeight="1" thickBot="1">
      <c r="A203" s="824"/>
      <c r="B203" s="842"/>
      <c r="C203" s="845"/>
      <c r="D203" s="848"/>
      <c r="E203" s="850"/>
      <c r="F203" s="101">
        <f>F199+F201</f>
        <v>221422</v>
      </c>
      <c r="G203" s="85" t="s">
        <v>26</v>
      </c>
      <c r="H203" s="102">
        <f aca="true" t="shared" si="65" ref="H203:Q203">H199+H201</f>
        <v>0</v>
      </c>
      <c r="I203" s="103">
        <f t="shared" si="65"/>
        <v>0</v>
      </c>
      <c r="J203" s="104">
        <f t="shared" si="65"/>
        <v>0</v>
      </c>
      <c r="K203" s="104">
        <f t="shared" si="65"/>
        <v>0</v>
      </c>
      <c r="L203" s="104">
        <f t="shared" si="65"/>
        <v>0</v>
      </c>
      <c r="M203" s="104">
        <f t="shared" si="65"/>
        <v>0</v>
      </c>
      <c r="N203" s="104">
        <f t="shared" si="65"/>
        <v>0</v>
      </c>
      <c r="O203" s="104">
        <f t="shared" si="65"/>
        <v>0</v>
      </c>
      <c r="P203" s="104">
        <f t="shared" si="65"/>
        <v>0</v>
      </c>
      <c r="Q203" s="105">
        <f t="shared" si="65"/>
        <v>0</v>
      </c>
      <c r="R203" s="820"/>
    </row>
    <row r="204" spans="1:18" s="95" customFormat="1" ht="12.75" customHeight="1">
      <c r="A204" s="823">
        <v>34</v>
      </c>
      <c r="B204" s="840" t="s">
        <v>104</v>
      </c>
      <c r="C204" s="843">
        <v>90095</v>
      </c>
      <c r="D204" s="846" t="s">
        <v>81</v>
      </c>
      <c r="E204" s="837">
        <v>2010</v>
      </c>
      <c r="F204" s="90" t="s">
        <v>14</v>
      </c>
      <c r="G204" s="59" t="s">
        <v>15</v>
      </c>
      <c r="H204" s="91">
        <v>44526</v>
      </c>
      <c r="I204" s="92">
        <f>4500+100000</f>
        <v>104500</v>
      </c>
      <c r="J204" s="93">
        <f>12750</f>
        <v>12750</v>
      </c>
      <c r="K204" s="93"/>
      <c r="L204" s="93"/>
      <c r="M204" s="93"/>
      <c r="N204" s="93"/>
      <c r="O204" s="93"/>
      <c r="P204" s="93"/>
      <c r="Q204" s="94"/>
      <c r="R204" s="818">
        <f>SUM(J204:Q204)</f>
        <v>12750</v>
      </c>
    </row>
    <row r="205" spans="1:18" s="95" customFormat="1" ht="10.5" customHeight="1">
      <c r="A205" s="824"/>
      <c r="B205" s="841"/>
      <c r="C205" s="844"/>
      <c r="D205" s="847"/>
      <c r="E205" s="838"/>
      <c r="F205" s="96">
        <f>SUM(H204:Q204)</f>
        <v>161776</v>
      </c>
      <c r="G205" s="67" t="s">
        <v>16</v>
      </c>
      <c r="H205" s="97"/>
      <c r="I205" s="98"/>
      <c r="J205" s="99"/>
      <c r="K205" s="99"/>
      <c r="L205" s="99"/>
      <c r="M205" s="99"/>
      <c r="N205" s="99"/>
      <c r="O205" s="99"/>
      <c r="P205" s="99"/>
      <c r="Q205" s="100"/>
      <c r="R205" s="819"/>
    </row>
    <row r="206" spans="1:18" s="95" customFormat="1" ht="10.5" customHeight="1">
      <c r="A206" s="824"/>
      <c r="B206" s="841"/>
      <c r="C206" s="844"/>
      <c r="D206" s="847"/>
      <c r="E206" s="839"/>
      <c r="F206" s="96" t="s">
        <v>18</v>
      </c>
      <c r="G206" s="67" t="s">
        <v>23</v>
      </c>
      <c r="H206" s="97"/>
      <c r="I206" s="98"/>
      <c r="J206" s="99"/>
      <c r="K206" s="99"/>
      <c r="L206" s="99"/>
      <c r="M206" s="99"/>
      <c r="N206" s="99"/>
      <c r="O206" s="99"/>
      <c r="P206" s="99"/>
      <c r="Q206" s="100"/>
      <c r="R206" s="819"/>
    </row>
    <row r="207" spans="1:18" s="95" customFormat="1" ht="10.5" customHeight="1">
      <c r="A207" s="824"/>
      <c r="B207" s="841"/>
      <c r="C207" s="844"/>
      <c r="D207" s="847"/>
      <c r="E207" s="849">
        <v>2012</v>
      </c>
      <c r="F207" s="96">
        <f>SUM(H206:Q206)</f>
        <v>0</v>
      </c>
      <c r="G207" s="67" t="s">
        <v>24</v>
      </c>
      <c r="H207" s="97"/>
      <c r="I207" s="98"/>
      <c r="J207" s="99"/>
      <c r="K207" s="99"/>
      <c r="L207" s="99"/>
      <c r="M207" s="99"/>
      <c r="N207" s="99"/>
      <c r="O207" s="99"/>
      <c r="P207" s="99"/>
      <c r="Q207" s="100"/>
      <c r="R207" s="819"/>
    </row>
    <row r="208" spans="1:18" s="95" customFormat="1" ht="12.75" customHeight="1">
      <c r="A208" s="824"/>
      <c r="B208" s="841"/>
      <c r="C208" s="844"/>
      <c r="D208" s="847"/>
      <c r="E208" s="838"/>
      <c r="F208" s="96" t="s">
        <v>82</v>
      </c>
      <c r="G208" s="67" t="s">
        <v>25</v>
      </c>
      <c r="H208" s="97">
        <f aca="true" t="shared" si="66" ref="H208:Q208">H204+H206</f>
        <v>44526</v>
      </c>
      <c r="I208" s="98">
        <f t="shared" si="66"/>
        <v>104500</v>
      </c>
      <c r="J208" s="99">
        <f t="shared" si="66"/>
        <v>12750</v>
      </c>
      <c r="K208" s="99">
        <f t="shared" si="66"/>
        <v>0</v>
      </c>
      <c r="L208" s="99">
        <f t="shared" si="66"/>
        <v>0</v>
      </c>
      <c r="M208" s="99">
        <f t="shared" si="66"/>
        <v>0</v>
      </c>
      <c r="N208" s="99">
        <f t="shared" si="66"/>
        <v>0</v>
      </c>
      <c r="O208" s="99">
        <f t="shared" si="66"/>
        <v>0</v>
      </c>
      <c r="P208" s="99">
        <f t="shared" si="66"/>
        <v>0</v>
      </c>
      <c r="Q208" s="100">
        <f t="shared" si="66"/>
        <v>0</v>
      </c>
      <c r="R208" s="819"/>
    </row>
    <row r="209" spans="1:18" s="95" customFormat="1" ht="12.75" customHeight="1" thickBot="1">
      <c r="A209" s="825"/>
      <c r="B209" s="842"/>
      <c r="C209" s="845"/>
      <c r="D209" s="848"/>
      <c r="E209" s="850"/>
      <c r="F209" s="101">
        <f>F205+F207</f>
        <v>161776</v>
      </c>
      <c r="G209" s="85" t="s">
        <v>26</v>
      </c>
      <c r="H209" s="102">
        <f aca="true" t="shared" si="67" ref="H209:Q209">H205+H207</f>
        <v>0</v>
      </c>
      <c r="I209" s="103">
        <f t="shared" si="67"/>
        <v>0</v>
      </c>
      <c r="J209" s="104">
        <f t="shared" si="67"/>
        <v>0</v>
      </c>
      <c r="K209" s="104">
        <f t="shared" si="67"/>
        <v>0</v>
      </c>
      <c r="L209" s="104">
        <f t="shared" si="67"/>
        <v>0</v>
      </c>
      <c r="M209" s="104">
        <f t="shared" si="67"/>
        <v>0</v>
      </c>
      <c r="N209" s="104">
        <f t="shared" si="67"/>
        <v>0</v>
      </c>
      <c r="O209" s="104">
        <f t="shared" si="67"/>
        <v>0</v>
      </c>
      <c r="P209" s="104">
        <f t="shared" si="67"/>
        <v>0</v>
      </c>
      <c r="Q209" s="105">
        <f t="shared" si="67"/>
        <v>0</v>
      </c>
      <c r="R209" s="820"/>
    </row>
    <row r="210" spans="1:18" s="95" customFormat="1" ht="12.75" customHeight="1">
      <c r="A210" s="823">
        <v>35</v>
      </c>
      <c r="B210" s="840" t="s">
        <v>105</v>
      </c>
      <c r="C210" s="843">
        <v>90095</v>
      </c>
      <c r="D210" s="846" t="s">
        <v>81</v>
      </c>
      <c r="E210" s="837">
        <v>2011</v>
      </c>
      <c r="F210" s="90" t="s">
        <v>14</v>
      </c>
      <c r="G210" s="59" t="s">
        <v>15</v>
      </c>
      <c r="H210" s="91"/>
      <c r="I210" s="92">
        <v>11000</v>
      </c>
      <c r="J210" s="93">
        <v>12000</v>
      </c>
      <c r="K210" s="93">
        <v>12000</v>
      </c>
      <c r="L210" s="93">
        <v>12000</v>
      </c>
      <c r="M210" s="93">
        <v>1000</v>
      </c>
      <c r="N210" s="93"/>
      <c r="O210" s="93"/>
      <c r="P210" s="93"/>
      <c r="Q210" s="94"/>
      <c r="R210" s="818">
        <f>SUM(J210:Q210)+11000</f>
        <v>48000</v>
      </c>
    </row>
    <row r="211" spans="1:18" s="95" customFormat="1" ht="10.5" customHeight="1">
      <c r="A211" s="824"/>
      <c r="B211" s="841"/>
      <c r="C211" s="844"/>
      <c r="D211" s="847"/>
      <c r="E211" s="838"/>
      <c r="F211" s="96">
        <f>SUM(H210:Q210)</f>
        <v>48000</v>
      </c>
      <c r="G211" s="67" t="s">
        <v>16</v>
      </c>
      <c r="H211" s="97"/>
      <c r="I211" s="98"/>
      <c r="J211" s="99"/>
      <c r="K211" s="99"/>
      <c r="L211" s="99"/>
      <c r="M211" s="99"/>
      <c r="N211" s="99"/>
      <c r="O211" s="99"/>
      <c r="P211" s="99"/>
      <c r="Q211" s="100"/>
      <c r="R211" s="819"/>
    </row>
    <row r="212" spans="1:18" s="95" customFormat="1" ht="10.5" customHeight="1">
      <c r="A212" s="824"/>
      <c r="B212" s="841"/>
      <c r="C212" s="844"/>
      <c r="D212" s="847"/>
      <c r="E212" s="839"/>
      <c r="F212" s="96" t="s">
        <v>18</v>
      </c>
      <c r="G212" s="67" t="s">
        <v>23</v>
      </c>
      <c r="H212" s="97"/>
      <c r="I212" s="98"/>
      <c r="J212" s="99"/>
      <c r="K212" s="99"/>
      <c r="L212" s="99"/>
      <c r="M212" s="99"/>
      <c r="N212" s="99"/>
      <c r="O212" s="99"/>
      <c r="P212" s="99"/>
      <c r="Q212" s="100"/>
      <c r="R212" s="819"/>
    </row>
    <row r="213" spans="1:18" s="95" customFormat="1" ht="10.5" customHeight="1">
      <c r="A213" s="824"/>
      <c r="B213" s="841"/>
      <c r="C213" s="844"/>
      <c r="D213" s="847"/>
      <c r="E213" s="849">
        <v>2015</v>
      </c>
      <c r="F213" s="96">
        <f>SUM(H212:Q212)</f>
        <v>0</v>
      </c>
      <c r="G213" s="67" t="s">
        <v>24</v>
      </c>
      <c r="H213" s="97"/>
      <c r="I213" s="98"/>
      <c r="J213" s="99"/>
      <c r="K213" s="99"/>
      <c r="L213" s="99"/>
      <c r="M213" s="99"/>
      <c r="N213" s="99"/>
      <c r="O213" s="99"/>
      <c r="P213" s="99"/>
      <c r="Q213" s="100"/>
      <c r="R213" s="819"/>
    </row>
    <row r="214" spans="1:18" s="95" customFormat="1" ht="12.75" customHeight="1">
      <c r="A214" s="824"/>
      <c r="B214" s="841"/>
      <c r="C214" s="844"/>
      <c r="D214" s="847"/>
      <c r="E214" s="838"/>
      <c r="F214" s="96" t="s">
        <v>82</v>
      </c>
      <c r="G214" s="67" t="s">
        <v>25</v>
      </c>
      <c r="H214" s="97">
        <f aca="true" t="shared" si="68" ref="H214:Q214">H210+H212</f>
        <v>0</v>
      </c>
      <c r="I214" s="98">
        <f t="shared" si="68"/>
        <v>11000</v>
      </c>
      <c r="J214" s="99">
        <f t="shared" si="68"/>
        <v>12000</v>
      </c>
      <c r="K214" s="99">
        <f t="shared" si="68"/>
        <v>12000</v>
      </c>
      <c r="L214" s="99">
        <f t="shared" si="68"/>
        <v>12000</v>
      </c>
      <c r="M214" s="99">
        <f t="shared" si="68"/>
        <v>1000</v>
      </c>
      <c r="N214" s="99">
        <f t="shared" si="68"/>
        <v>0</v>
      </c>
      <c r="O214" s="99">
        <f t="shared" si="68"/>
        <v>0</v>
      </c>
      <c r="P214" s="99">
        <f t="shared" si="68"/>
        <v>0</v>
      </c>
      <c r="Q214" s="100">
        <f t="shared" si="68"/>
        <v>0</v>
      </c>
      <c r="R214" s="819"/>
    </row>
    <row r="215" spans="1:18" s="95" customFormat="1" ht="12.75" customHeight="1" thickBot="1">
      <c r="A215" s="824"/>
      <c r="B215" s="842"/>
      <c r="C215" s="845"/>
      <c r="D215" s="848"/>
      <c r="E215" s="850"/>
      <c r="F215" s="101">
        <f>F211+F213</f>
        <v>48000</v>
      </c>
      <c r="G215" s="85" t="s">
        <v>26</v>
      </c>
      <c r="H215" s="102">
        <f aca="true" t="shared" si="69" ref="H215:Q215">H211+H213</f>
        <v>0</v>
      </c>
      <c r="I215" s="103">
        <f t="shared" si="69"/>
        <v>0</v>
      </c>
      <c r="J215" s="104">
        <f t="shared" si="69"/>
        <v>0</v>
      </c>
      <c r="K215" s="104">
        <f t="shared" si="69"/>
        <v>0</v>
      </c>
      <c r="L215" s="104">
        <f t="shared" si="69"/>
        <v>0</v>
      </c>
      <c r="M215" s="104">
        <f t="shared" si="69"/>
        <v>0</v>
      </c>
      <c r="N215" s="104">
        <f t="shared" si="69"/>
        <v>0</v>
      </c>
      <c r="O215" s="104">
        <f t="shared" si="69"/>
        <v>0</v>
      </c>
      <c r="P215" s="104">
        <f t="shared" si="69"/>
        <v>0</v>
      </c>
      <c r="Q215" s="105">
        <f t="shared" si="69"/>
        <v>0</v>
      </c>
      <c r="R215" s="820"/>
    </row>
    <row r="216" spans="1:18" s="64" customFormat="1" ht="12.75">
      <c r="A216" s="823">
        <v>36</v>
      </c>
      <c r="B216" s="826" t="s">
        <v>106</v>
      </c>
      <c r="C216" s="829">
        <v>75022</v>
      </c>
      <c r="D216" s="832" t="s">
        <v>107</v>
      </c>
      <c r="E216" s="816">
        <v>2009</v>
      </c>
      <c r="F216" s="58" t="s">
        <v>14</v>
      </c>
      <c r="G216" s="59" t="s">
        <v>15</v>
      </c>
      <c r="H216" s="60">
        <v>62535</v>
      </c>
      <c r="I216" s="81">
        <v>90253</v>
      </c>
      <c r="J216" s="82">
        <v>25516</v>
      </c>
      <c r="K216" s="82"/>
      <c r="L216" s="82"/>
      <c r="M216" s="82"/>
      <c r="N216" s="82"/>
      <c r="O216" s="82"/>
      <c r="P216" s="82"/>
      <c r="Q216" s="83"/>
      <c r="R216" s="818">
        <f>SUM(J216:Q216)</f>
        <v>25516</v>
      </c>
    </row>
    <row r="217" spans="1:18" s="64" customFormat="1" ht="12.75">
      <c r="A217" s="824"/>
      <c r="B217" s="827"/>
      <c r="C217" s="830"/>
      <c r="D217" s="833"/>
      <c r="E217" s="817"/>
      <c r="F217" s="66">
        <f>SUM(H220:Q220)</f>
        <v>178304</v>
      </c>
      <c r="G217" s="67" t="s">
        <v>16</v>
      </c>
      <c r="H217" s="68"/>
      <c r="I217" s="69"/>
      <c r="J217" s="70"/>
      <c r="K217" s="70"/>
      <c r="L217" s="70"/>
      <c r="M217" s="70"/>
      <c r="N217" s="70"/>
      <c r="O217" s="70"/>
      <c r="P217" s="70"/>
      <c r="Q217" s="71"/>
      <c r="R217" s="819"/>
    </row>
    <row r="218" spans="1:18" s="64" customFormat="1" ht="12" customHeight="1">
      <c r="A218" s="824"/>
      <c r="B218" s="827"/>
      <c r="C218" s="830"/>
      <c r="D218" s="833"/>
      <c r="E218" s="817"/>
      <c r="F218" s="66" t="s">
        <v>18</v>
      </c>
      <c r="G218" s="67" t="s">
        <v>23</v>
      </c>
      <c r="H218" s="68"/>
      <c r="I218" s="69"/>
      <c r="J218" s="70"/>
      <c r="K218" s="70"/>
      <c r="L218" s="70"/>
      <c r="M218" s="70"/>
      <c r="N218" s="70"/>
      <c r="O218" s="70"/>
      <c r="P218" s="70"/>
      <c r="Q218" s="71"/>
      <c r="R218" s="819"/>
    </row>
    <row r="219" spans="1:18" s="64" customFormat="1" ht="12.75" customHeight="1">
      <c r="A219" s="824"/>
      <c r="B219" s="827"/>
      <c r="C219" s="830"/>
      <c r="D219" s="833"/>
      <c r="E219" s="821">
        <v>2012</v>
      </c>
      <c r="F219" s="66">
        <f>SUM(H221:Q221)</f>
        <v>0</v>
      </c>
      <c r="G219" s="67" t="s">
        <v>24</v>
      </c>
      <c r="H219" s="68"/>
      <c r="I219" s="69"/>
      <c r="J219" s="70"/>
      <c r="K219" s="70"/>
      <c r="L219" s="70"/>
      <c r="M219" s="70"/>
      <c r="N219" s="70"/>
      <c r="O219" s="70"/>
      <c r="P219" s="70"/>
      <c r="Q219" s="71"/>
      <c r="R219" s="819"/>
    </row>
    <row r="220" spans="1:18" s="64" customFormat="1" ht="9.75" customHeight="1">
      <c r="A220" s="824"/>
      <c r="B220" s="827"/>
      <c r="C220" s="830"/>
      <c r="D220" s="833"/>
      <c r="E220" s="817"/>
      <c r="F220" s="66" t="s">
        <v>22</v>
      </c>
      <c r="G220" s="67" t="s">
        <v>25</v>
      </c>
      <c r="H220" s="72">
        <f aca="true" t="shared" si="70" ref="H220:Q220">H216+H218</f>
        <v>62535</v>
      </c>
      <c r="I220" s="84">
        <f t="shared" si="70"/>
        <v>90253</v>
      </c>
      <c r="J220" s="73">
        <f t="shared" si="70"/>
        <v>25516</v>
      </c>
      <c r="K220" s="73">
        <f t="shared" si="70"/>
        <v>0</v>
      </c>
      <c r="L220" s="73">
        <f t="shared" si="70"/>
        <v>0</v>
      </c>
      <c r="M220" s="73">
        <f t="shared" si="70"/>
        <v>0</v>
      </c>
      <c r="N220" s="73">
        <f t="shared" si="70"/>
        <v>0</v>
      </c>
      <c r="O220" s="73">
        <f t="shared" si="70"/>
        <v>0</v>
      </c>
      <c r="P220" s="73">
        <f t="shared" si="70"/>
        <v>0</v>
      </c>
      <c r="Q220" s="74">
        <f t="shared" si="70"/>
        <v>0</v>
      </c>
      <c r="R220" s="819"/>
    </row>
    <row r="221" spans="1:18" s="64" customFormat="1" ht="13.5" thickBot="1">
      <c r="A221" s="825"/>
      <c r="B221" s="828"/>
      <c r="C221" s="831"/>
      <c r="D221" s="834"/>
      <c r="E221" s="822"/>
      <c r="F221" s="75">
        <f>F217+F219</f>
        <v>178304</v>
      </c>
      <c r="G221" s="85" t="s">
        <v>26</v>
      </c>
      <c r="H221" s="77">
        <f aca="true" t="shared" si="71" ref="H221:Q221">H217+H219</f>
        <v>0</v>
      </c>
      <c r="I221" s="86">
        <f t="shared" si="71"/>
        <v>0</v>
      </c>
      <c r="J221" s="87">
        <f t="shared" si="71"/>
        <v>0</v>
      </c>
      <c r="K221" s="87">
        <f t="shared" si="71"/>
        <v>0</v>
      </c>
      <c r="L221" s="87">
        <f t="shared" si="71"/>
        <v>0</v>
      </c>
      <c r="M221" s="87">
        <f t="shared" si="71"/>
        <v>0</v>
      </c>
      <c r="N221" s="87">
        <f t="shared" si="71"/>
        <v>0</v>
      </c>
      <c r="O221" s="87">
        <f t="shared" si="71"/>
        <v>0</v>
      </c>
      <c r="P221" s="87">
        <f t="shared" si="71"/>
        <v>0</v>
      </c>
      <c r="Q221" s="88">
        <f t="shared" si="71"/>
        <v>0</v>
      </c>
      <c r="R221" s="820"/>
    </row>
    <row r="222" spans="1:18" s="64" customFormat="1" ht="12.75">
      <c r="A222" s="823">
        <v>37</v>
      </c>
      <c r="B222" s="835" t="s">
        <v>108</v>
      </c>
      <c r="C222" s="836">
        <v>70005</v>
      </c>
      <c r="D222" s="832" t="s">
        <v>107</v>
      </c>
      <c r="E222" s="863">
        <v>2010</v>
      </c>
      <c r="F222" s="58" t="s">
        <v>14</v>
      </c>
      <c r="G222" s="59" t="s">
        <v>15</v>
      </c>
      <c r="H222" s="60">
        <v>87802</v>
      </c>
      <c r="I222" s="61">
        <v>1294877</v>
      </c>
      <c r="J222" s="62">
        <v>14627</v>
      </c>
      <c r="K222" s="62">
        <v>1342</v>
      </c>
      <c r="L222" s="62"/>
      <c r="M222" s="62"/>
      <c r="N222" s="62"/>
      <c r="O222" s="62"/>
      <c r="P222" s="62"/>
      <c r="Q222" s="63"/>
      <c r="R222" s="818">
        <f>SUM(J222:Q222)</f>
        <v>15969</v>
      </c>
    </row>
    <row r="223" spans="1:18" s="64" customFormat="1" ht="11.25" customHeight="1">
      <c r="A223" s="824"/>
      <c r="B223" s="827"/>
      <c r="C223" s="830"/>
      <c r="D223" s="833"/>
      <c r="E223" s="817"/>
      <c r="F223" s="66">
        <f>SUM(H226:Q226)</f>
        <v>1398648</v>
      </c>
      <c r="G223" s="67" t="s">
        <v>16</v>
      </c>
      <c r="H223" s="68"/>
      <c r="I223" s="69"/>
      <c r="J223" s="70"/>
      <c r="K223" s="70"/>
      <c r="L223" s="70"/>
      <c r="M223" s="70"/>
      <c r="N223" s="70"/>
      <c r="O223" s="70"/>
      <c r="P223" s="70"/>
      <c r="Q223" s="71"/>
      <c r="R223" s="819"/>
    </row>
    <row r="224" spans="1:18" s="64" customFormat="1" ht="11.25" customHeight="1">
      <c r="A224" s="824"/>
      <c r="B224" s="827"/>
      <c r="C224" s="830"/>
      <c r="D224" s="833"/>
      <c r="E224" s="817"/>
      <c r="F224" s="66" t="s">
        <v>18</v>
      </c>
      <c r="G224" s="67" t="s">
        <v>23</v>
      </c>
      <c r="H224" s="68"/>
      <c r="I224" s="69"/>
      <c r="J224" s="70"/>
      <c r="K224" s="70"/>
      <c r="L224" s="70"/>
      <c r="M224" s="70"/>
      <c r="N224" s="70"/>
      <c r="O224" s="70"/>
      <c r="P224" s="70"/>
      <c r="Q224" s="71"/>
      <c r="R224" s="819"/>
    </row>
    <row r="225" spans="1:18" s="64" customFormat="1" ht="11.25" customHeight="1">
      <c r="A225" s="824"/>
      <c r="B225" s="827"/>
      <c r="C225" s="830"/>
      <c r="D225" s="833"/>
      <c r="E225" s="821">
        <v>2013</v>
      </c>
      <c r="F225" s="66">
        <f>SUM(H227:Q227)</f>
        <v>0</v>
      </c>
      <c r="G225" s="67" t="s">
        <v>24</v>
      </c>
      <c r="H225" s="68"/>
      <c r="I225" s="69"/>
      <c r="J225" s="70"/>
      <c r="K225" s="70"/>
      <c r="L225" s="70"/>
      <c r="M225" s="70"/>
      <c r="N225" s="70"/>
      <c r="O225" s="70"/>
      <c r="P225" s="70"/>
      <c r="Q225" s="71"/>
      <c r="R225" s="819"/>
    </row>
    <row r="226" spans="1:18" s="64" customFormat="1" ht="12.75">
      <c r="A226" s="824"/>
      <c r="B226" s="827"/>
      <c r="C226" s="830"/>
      <c r="D226" s="833"/>
      <c r="E226" s="817"/>
      <c r="F226" s="66" t="s">
        <v>22</v>
      </c>
      <c r="G226" s="67" t="s">
        <v>25</v>
      </c>
      <c r="H226" s="72">
        <f aca="true" t="shared" si="72" ref="H226:Q226">H222+H224</f>
        <v>87802</v>
      </c>
      <c r="I226" s="84">
        <f t="shared" si="72"/>
        <v>1294877</v>
      </c>
      <c r="J226" s="73">
        <f t="shared" si="72"/>
        <v>14627</v>
      </c>
      <c r="K226" s="73">
        <f t="shared" si="72"/>
        <v>1342</v>
      </c>
      <c r="L226" s="73">
        <f t="shared" si="72"/>
        <v>0</v>
      </c>
      <c r="M226" s="73">
        <f t="shared" si="72"/>
        <v>0</v>
      </c>
      <c r="N226" s="73">
        <f t="shared" si="72"/>
        <v>0</v>
      </c>
      <c r="O226" s="73">
        <f t="shared" si="72"/>
        <v>0</v>
      </c>
      <c r="P226" s="73">
        <f t="shared" si="72"/>
        <v>0</v>
      </c>
      <c r="Q226" s="74">
        <f t="shared" si="72"/>
        <v>0</v>
      </c>
      <c r="R226" s="819"/>
    </row>
    <row r="227" spans="1:18" s="64" customFormat="1" ht="13.5" thickBot="1">
      <c r="A227" s="824"/>
      <c r="B227" s="827"/>
      <c r="C227" s="830"/>
      <c r="D227" s="834"/>
      <c r="E227" s="817"/>
      <c r="F227" s="75">
        <f>F223+F225</f>
        <v>1398648</v>
      </c>
      <c r="G227" s="85" t="s">
        <v>26</v>
      </c>
      <c r="H227" s="77">
        <f aca="true" t="shared" si="73" ref="H227:Q227">H223+H225</f>
        <v>0</v>
      </c>
      <c r="I227" s="78">
        <f t="shared" si="73"/>
        <v>0</v>
      </c>
      <c r="J227" s="79">
        <f t="shared" si="73"/>
        <v>0</v>
      </c>
      <c r="K227" s="79">
        <f t="shared" si="73"/>
        <v>0</v>
      </c>
      <c r="L227" s="79">
        <f t="shared" si="73"/>
        <v>0</v>
      </c>
      <c r="M227" s="79">
        <f t="shared" si="73"/>
        <v>0</v>
      </c>
      <c r="N227" s="79">
        <f t="shared" si="73"/>
        <v>0</v>
      </c>
      <c r="O227" s="79">
        <f t="shared" si="73"/>
        <v>0</v>
      </c>
      <c r="P227" s="79">
        <f t="shared" si="73"/>
        <v>0</v>
      </c>
      <c r="Q227" s="80">
        <f t="shared" si="73"/>
        <v>0</v>
      </c>
      <c r="R227" s="820"/>
    </row>
    <row r="228" spans="1:18" s="64" customFormat="1" ht="12.75">
      <c r="A228" s="823">
        <v>38</v>
      </c>
      <c r="B228" s="826" t="s">
        <v>109</v>
      </c>
      <c r="C228" s="829">
        <v>85149</v>
      </c>
      <c r="D228" s="832" t="s">
        <v>107</v>
      </c>
      <c r="E228" s="816">
        <v>2009</v>
      </c>
      <c r="F228" s="58" t="s">
        <v>14</v>
      </c>
      <c r="G228" s="59" t="s">
        <v>15</v>
      </c>
      <c r="H228" s="60">
        <v>381715</v>
      </c>
      <c r="I228" s="81">
        <v>457780</v>
      </c>
      <c r="J228" s="82">
        <v>457780</v>
      </c>
      <c r="K228" s="82"/>
      <c r="L228" s="82"/>
      <c r="M228" s="82"/>
      <c r="N228" s="82"/>
      <c r="O228" s="82"/>
      <c r="P228" s="82"/>
      <c r="Q228" s="83"/>
      <c r="R228" s="818">
        <f>SUM(J228:Q228)</f>
        <v>457780</v>
      </c>
    </row>
    <row r="229" spans="1:18" s="64" customFormat="1" ht="12.75">
      <c r="A229" s="824"/>
      <c r="B229" s="827"/>
      <c r="C229" s="830"/>
      <c r="D229" s="833"/>
      <c r="E229" s="817"/>
      <c r="F229" s="66">
        <f>SUM(H232:Q232)</f>
        <v>1297275</v>
      </c>
      <c r="G229" s="67" t="s">
        <v>16</v>
      </c>
      <c r="H229" s="68"/>
      <c r="I229" s="69"/>
      <c r="J229" s="70"/>
      <c r="K229" s="70"/>
      <c r="L229" s="70"/>
      <c r="M229" s="70"/>
      <c r="N229" s="70"/>
      <c r="O229" s="70"/>
      <c r="P229" s="70"/>
      <c r="Q229" s="71"/>
      <c r="R229" s="819"/>
    </row>
    <row r="230" spans="1:18" s="64" customFormat="1" ht="12.75">
      <c r="A230" s="824"/>
      <c r="B230" s="827"/>
      <c r="C230" s="830"/>
      <c r="D230" s="833"/>
      <c r="E230" s="817"/>
      <c r="F230" s="66" t="s">
        <v>18</v>
      </c>
      <c r="G230" s="67" t="s">
        <v>23</v>
      </c>
      <c r="H230" s="68"/>
      <c r="I230" s="69"/>
      <c r="J230" s="70"/>
      <c r="K230" s="70"/>
      <c r="L230" s="70"/>
      <c r="M230" s="70"/>
      <c r="N230" s="70"/>
      <c r="O230" s="70"/>
      <c r="P230" s="70"/>
      <c r="Q230" s="71"/>
      <c r="R230" s="819"/>
    </row>
    <row r="231" spans="1:18" s="64" customFormat="1" ht="12.75">
      <c r="A231" s="824"/>
      <c r="B231" s="827"/>
      <c r="C231" s="830"/>
      <c r="D231" s="833"/>
      <c r="E231" s="821">
        <v>2012</v>
      </c>
      <c r="F231" s="66">
        <f>SUM(H233:Q233)</f>
        <v>0</v>
      </c>
      <c r="G231" s="67" t="s">
        <v>24</v>
      </c>
      <c r="H231" s="68"/>
      <c r="I231" s="69"/>
      <c r="J231" s="70"/>
      <c r="K231" s="70"/>
      <c r="L231" s="70"/>
      <c r="M231" s="70"/>
      <c r="N231" s="70"/>
      <c r="O231" s="70"/>
      <c r="P231" s="70"/>
      <c r="Q231" s="71"/>
      <c r="R231" s="819"/>
    </row>
    <row r="232" spans="1:18" s="64" customFormat="1" ht="12.75">
      <c r="A232" s="824"/>
      <c r="B232" s="827"/>
      <c r="C232" s="830"/>
      <c r="D232" s="833"/>
      <c r="E232" s="817"/>
      <c r="F232" s="66" t="s">
        <v>22</v>
      </c>
      <c r="G232" s="67" t="s">
        <v>25</v>
      </c>
      <c r="H232" s="72">
        <f aca="true" t="shared" si="74" ref="H232:Q232">H228+H230</f>
        <v>381715</v>
      </c>
      <c r="I232" s="84">
        <f t="shared" si="74"/>
        <v>457780</v>
      </c>
      <c r="J232" s="73">
        <f t="shared" si="74"/>
        <v>457780</v>
      </c>
      <c r="K232" s="73">
        <f t="shared" si="74"/>
        <v>0</v>
      </c>
      <c r="L232" s="73">
        <f t="shared" si="74"/>
        <v>0</v>
      </c>
      <c r="M232" s="73">
        <f t="shared" si="74"/>
        <v>0</v>
      </c>
      <c r="N232" s="73">
        <f t="shared" si="74"/>
        <v>0</v>
      </c>
      <c r="O232" s="73">
        <f t="shared" si="74"/>
        <v>0</v>
      </c>
      <c r="P232" s="73">
        <f t="shared" si="74"/>
        <v>0</v>
      </c>
      <c r="Q232" s="74">
        <f t="shared" si="74"/>
        <v>0</v>
      </c>
      <c r="R232" s="819"/>
    </row>
    <row r="233" spans="1:18" s="64" customFormat="1" ht="13.5" thickBot="1">
      <c r="A233" s="825"/>
      <c r="B233" s="828"/>
      <c r="C233" s="831"/>
      <c r="D233" s="834"/>
      <c r="E233" s="822"/>
      <c r="F233" s="75">
        <f>F229+F231</f>
        <v>1297275</v>
      </c>
      <c r="G233" s="85" t="s">
        <v>26</v>
      </c>
      <c r="H233" s="77">
        <f aca="true" t="shared" si="75" ref="H233:Q233">H229+H231</f>
        <v>0</v>
      </c>
      <c r="I233" s="86">
        <f t="shared" si="75"/>
        <v>0</v>
      </c>
      <c r="J233" s="87">
        <f t="shared" si="75"/>
        <v>0</v>
      </c>
      <c r="K233" s="87">
        <f t="shared" si="75"/>
        <v>0</v>
      </c>
      <c r="L233" s="87">
        <f t="shared" si="75"/>
        <v>0</v>
      </c>
      <c r="M233" s="87">
        <f t="shared" si="75"/>
        <v>0</v>
      </c>
      <c r="N233" s="87">
        <f t="shared" si="75"/>
        <v>0</v>
      </c>
      <c r="O233" s="87">
        <f t="shared" si="75"/>
        <v>0</v>
      </c>
      <c r="P233" s="87">
        <f t="shared" si="75"/>
        <v>0</v>
      </c>
      <c r="Q233" s="88">
        <f t="shared" si="75"/>
        <v>0</v>
      </c>
      <c r="R233" s="820"/>
    </row>
    <row r="234" spans="1:18" s="64" customFormat="1" ht="12.75">
      <c r="A234" s="823">
        <v>39</v>
      </c>
      <c r="B234" s="826" t="s">
        <v>110</v>
      </c>
      <c r="C234" s="829">
        <v>75495</v>
      </c>
      <c r="D234" s="832" t="s">
        <v>107</v>
      </c>
      <c r="E234" s="816">
        <v>2008</v>
      </c>
      <c r="F234" s="58" t="s">
        <v>14</v>
      </c>
      <c r="G234" s="59" t="s">
        <v>15</v>
      </c>
      <c r="H234" s="60"/>
      <c r="I234" s="81">
        <v>190402</v>
      </c>
      <c r="J234" s="82">
        <v>54477</v>
      </c>
      <c r="K234" s="82">
        <v>2562</v>
      </c>
      <c r="L234" s="82"/>
      <c r="M234" s="82"/>
      <c r="N234" s="82"/>
      <c r="O234" s="82"/>
      <c r="P234" s="82"/>
      <c r="Q234" s="83"/>
      <c r="R234" s="818">
        <f>SUM(J234:Q234)</f>
        <v>57039</v>
      </c>
    </row>
    <row r="235" spans="1:18" s="64" customFormat="1" ht="12.75">
      <c r="A235" s="824"/>
      <c r="B235" s="827"/>
      <c r="C235" s="830"/>
      <c r="D235" s="833"/>
      <c r="E235" s="817"/>
      <c r="F235" s="66">
        <f>SUM(H238:Q238)</f>
        <v>247441</v>
      </c>
      <c r="G235" s="67" t="s">
        <v>16</v>
      </c>
      <c r="H235" s="68"/>
      <c r="I235" s="69"/>
      <c r="J235" s="70"/>
      <c r="K235" s="70"/>
      <c r="L235" s="70"/>
      <c r="M235" s="70"/>
      <c r="N235" s="70"/>
      <c r="O235" s="70"/>
      <c r="P235" s="70"/>
      <c r="Q235" s="71"/>
      <c r="R235" s="819"/>
    </row>
    <row r="236" spans="1:18" s="64" customFormat="1" ht="12.75">
      <c r="A236" s="824"/>
      <c r="B236" s="827"/>
      <c r="C236" s="830"/>
      <c r="D236" s="833"/>
      <c r="E236" s="817"/>
      <c r="F236" s="66" t="s">
        <v>18</v>
      </c>
      <c r="G236" s="67" t="s">
        <v>23</v>
      </c>
      <c r="H236" s="68"/>
      <c r="I236" s="69"/>
      <c r="J236" s="70"/>
      <c r="K236" s="70"/>
      <c r="L236" s="70"/>
      <c r="M236" s="70"/>
      <c r="N236" s="70"/>
      <c r="O236" s="70"/>
      <c r="P236" s="70"/>
      <c r="Q236" s="71"/>
      <c r="R236" s="819"/>
    </row>
    <row r="237" spans="1:18" s="64" customFormat="1" ht="12.75">
      <c r="A237" s="824"/>
      <c r="B237" s="827"/>
      <c r="C237" s="830"/>
      <c r="D237" s="833"/>
      <c r="E237" s="821">
        <v>2013</v>
      </c>
      <c r="F237" s="66">
        <f>SUM(H239:Q239)</f>
        <v>0</v>
      </c>
      <c r="G237" s="67" t="s">
        <v>24</v>
      </c>
      <c r="H237" s="68"/>
      <c r="I237" s="69"/>
      <c r="J237" s="70"/>
      <c r="K237" s="70"/>
      <c r="L237" s="70"/>
      <c r="M237" s="70"/>
      <c r="N237" s="70"/>
      <c r="O237" s="70"/>
      <c r="P237" s="70"/>
      <c r="Q237" s="71"/>
      <c r="R237" s="819"/>
    </row>
    <row r="238" spans="1:18" s="64" customFormat="1" ht="12.75">
      <c r="A238" s="824"/>
      <c r="B238" s="827"/>
      <c r="C238" s="830"/>
      <c r="D238" s="833"/>
      <c r="E238" s="817"/>
      <c r="F238" s="66" t="s">
        <v>22</v>
      </c>
      <c r="G238" s="67" t="s">
        <v>25</v>
      </c>
      <c r="H238" s="72">
        <f aca="true" t="shared" si="76" ref="H238:Q238">H234+H236</f>
        <v>0</v>
      </c>
      <c r="I238" s="73">
        <f t="shared" si="76"/>
        <v>190402</v>
      </c>
      <c r="J238" s="73">
        <f t="shared" si="76"/>
        <v>54477</v>
      </c>
      <c r="K238" s="73">
        <f t="shared" si="76"/>
        <v>2562</v>
      </c>
      <c r="L238" s="73">
        <f t="shared" si="76"/>
        <v>0</v>
      </c>
      <c r="M238" s="73">
        <f t="shared" si="76"/>
        <v>0</v>
      </c>
      <c r="N238" s="73">
        <f t="shared" si="76"/>
        <v>0</v>
      </c>
      <c r="O238" s="73">
        <f t="shared" si="76"/>
        <v>0</v>
      </c>
      <c r="P238" s="73">
        <f t="shared" si="76"/>
        <v>0</v>
      </c>
      <c r="Q238" s="74">
        <f t="shared" si="76"/>
        <v>0</v>
      </c>
      <c r="R238" s="819"/>
    </row>
    <row r="239" spans="1:18" s="64" customFormat="1" ht="13.5" thickBot="1">
      <c r="A239" s="825"/>
      <c r="B239" s="828"/>
      <c r="C239" s="831"/>
      <c r="D239" s="834"/>
      <c r="E239" s="822"/>
      <c r="F239" s="75">
        <f>F235+F237</f>
        <v>247441</v>
      </c>
      <c r="G239" s="85" t="s">
        <v>26</v>
      </c>
      <c r="H239" s="77">
        <f aca="true" t="shared" si="77" ref="H239:Q239">H235+H237</f>
        <v>0</v>
      </c>
      <c r="I239" s="86">
        <f t="shared" si="77"/>
        <v>0</v>
      </c>
      <c r="J239" s="87">
        <f t="shared" si="77"/>
        <v>0</v>
      </c>
      <c r="K239" s="87">
        <f t="shared" si="77"/>
        <v>0</v>
      </c>
      <c r="L239" s="87">
        <f t="shared" si="77"/>
        <v>0</v>
      </c>
      <c r="M239" s="87">
        <f t="shared" si="77"/>
        <v>0</v>
      </c>
      <c r="N239" s="87">
        <f t="shared" si="77"/>
        <v>0</v>
      </c>
      <c r="O239" s="87">
        <f t="shared" si="77"/>
        <v>0</v>
      </c>
      <c r="P239" s="87">
        <f t="shared" si="77"/>
        <v>0</v>
      </c>
      <c r="Q239" s="88">
        <f t="shared" si="77"/>
        <v>0</v>
      </c>
      <c r="R239" s="820"/>
    </row>
    <row r="240" spans="1:18" s="64" customFormat="1" ht="12.75">
      <c r="A240" s="823">
        <v>40</v>
      </c>
      <c r="B240" s="826" t="s">
        <v>111</v>
      </c>
      <c r="C240" s="829">
        <v>75023</v>
      </c>
      <c r="D240" s="832" t="s">
        <v>107</v>
      </c>
      <c r="E240" s="816">
        <v>2009</v>
      </c>
      <c r="F240" s="58" t="s">
        <v>14</v>
      </c>
      <c r="G240" s="59" t="s">
        <v>15</v>
      </c>
      <c r="H240" s="60">
        <v>666181</v>
      </c>
      <c r="I240" s="81">
        <v>294565</v>
      </c>
      <c r="J240" s="82">
        <v>11215</v>
      </c>
      <c r="K240" s="82">
        <v>359636</v>
      </c>
      <c r="L240" s="82"/>
      <c r="M240" s="82"/>
      <c r="N240" s="82"/>
      <c r="O240" s="82"/>
      <c r="P240" s="82"/>
      <c r="Q240" s="83"/>
      <c r="R240" s="818">
        <f>SUM(J240:Q240)</f>
        <v>370851</v>
      </c>
    </row>
    <row r="241" spans="1:18" s="64" customFormat="1" ht="12.75">
      <c r="A241" s="824"/>
      <c r="B241" s="827"/>
      <c r="C241" s="830"/>
      <c r="D241" s="833"/>
      <c r="E241" s="817"/>
      <c r="F241" s="66">
        <f>SUM(H244:Q244)</f>
        <v>1331597</v>
      </c>
      <c r="G241" s="67" t="s">
        <v>16</v>
      </c>
      <c r="H241" s="68"/>
      <c r="I241" s="69"/>
      <c r="J241" s="70"/>
      <c r="K241" s="70"/>
      <c r="L241" s="70"/>
      <c r="M241" s="70"/>
      <c r="N241" s="70"/>
      <c r="O241" s="70"/>
      <c r="P241" s="70"/>
      <c r="Q241" s="71"/>
      <c r="R241" s="819"/>
    </row>
    <row r="242" spans="1:18" s="64" customFormat="1" ht="12.75">
      <c r="A242" s="824"/>
      <c r="B242" s="827"/>
      <c r="C242" s="830"/>
      <c r="D242" s="833"/>
      <c r="E242" s="817"/>
      <c r="F242" s="66" t="s">
        <v>18</v>
      </c>
      <c r="G242" s="67" t="s">
        <v>23</v>
      </c>
      <c r="H242" s="68"/>
      <c r="I242" s="69"/>
      <c r="J242" s="70"/>
      <c r="K242" s="70"/>
      <c r="L242" s="70"/>
      <c r="M242" s="70"/>
      <c r="N242" s="70"/>
      <c r="O242" s="70"/>
      <c r="P242" s="70"/>
      <c r="Q242" s="71"/>
      <c r="R242" s="819"/>
    </row>
    <row r="243" spans="1:18" s="64" customFormat="1" ht="12.75">
      <c r="A243" s="824"/>
      <c r="B243" s="827"/>
      <c r="C243" s="830"/>
      <c r="D243" s="833"/>
      <c r="E243" s="821">
        <v>2013</v>
      </c>
      <c r="F243" s="66">
        <f>SUM(H245:Q245)</f>
        <v>0</v>
      </c>
      <c r="G243" s="67" t="s">
        <v>24</v>
      </c>
      <c r="H243" s="68"/>
      <c r="I243" s="69"/>
      <c r="J243" s="70"/>
      <c r="K243" s="70"/>
      <c r="L243" s="70"/>
      <c r="M243" s="70"/>
      <c r="N243" s="70"/>
      <c r="O243" s="70"/>
      <c r="P243" s="70"/>
      <c r="Q243" s="71"/>
      <c r="R243" s="819"/>
    </row>
    <row r="244" spans="1:18" s="64" customFormat="1" ht="12.75">
      <c r="A244" s="824"/>
      <c r="B244" s="827"/>
      <c r="C244" s="830"/>
      <c r="D244" s="833"/>
      <c r="E244" s="817"/>
      <c r="F244" s="66" t="s">
        <v>22</v>
      </c>
      <c r="G244" s="67" t="s">
        <v>25</v>
      </c>
      <c r="H244" s="72">
        <f aca="true" t="shared" si="78" ref="H244:Q244">H240+H242</f>
        <v>666181</v>
      </c>
      <c r="I244" s="84">
        <f t="shared" si="78"/>
        <v>294565</v>
      </c>
      <c r="J244" s="73">
        <f t="shared" si="78"/>
        <v>11215</v>
      </c>
      <c r="K244" s="73">
        <f t="shared" si="78"/>
        <v>359636</v>
      </c>
      <c r="L244" s="73">
        <f t="shared" si="78"/>
        <v>0</v>
      </c>
      <c r="M244" s="73">
        <f t="shared" si="78"/>
        <v>0</v>
      </c>
      <c r="N244" s="73">
        <f t="shared" si="78"/>
        <v>0</v>
      </c>
      <c r="O244" s="73">
        <f t="shared" si="78"/>
        <v>0</v>
      </c>
      <c r="P244" s="73">
        <f t="shared" si="78"/>
        <v>0</v>
      </c>
      <c r="Q244" s="74">
        <f t="shared" si="78"/>
        <v>0</v>
      </c>
      <c r="R244" s="819"/>
    </row>
    <row r="245" spans="1:18" s="64" customFormat="1" ht="13.5" thickBot="1">
      <c r="A245" s="825"/>
      <c r="B245" s="828"/>
      <c r="C245" s="831"/>
      <c r="D245" s="834"/>
      <c r="E245" s="822"/>
      <c r="F245" s="75">
        <f>F241+F243</f>
        <v>1331597</v>
      </c>
      <c r="G245" s="85" t="s">
        <v>26</v>
      </c>
      <c r="H245" s="77">
        <f aca="true" t="shared" si="79" ref="H245:Q245">H241+H243</f>
        <v>0</v>
      </c>
      <c r="I245" s="86">
        <f t="shared" si="79"/>
        <v>0</v>
      </c>
      <c r="J245" s="87">
        <f t="shared" si="79"/>
        <v>0</v>
      </c>
      <c r="K245" s="87">
        <f t="shared" si="79"/>
        <v>0</v>
      </c>
      <c r="L245" s="87">
        <f t="shared" si="79"/>
        <v>0</v>
      </c>
      <c r="M245" s="87">
        <f t="shared" si="79"/>
        <v>0</v>
      </c>
      <c r="N245" s="87">
        <f t="shared" si="79"/>
        <v>0</v>
      </c>
      <c r="O245" s="87">
        <f t="shared" si="79"/>
        <v>0</v>
      </c>
      <c r="P245" s="87">
        <f t="shared" si="79"/>
        <v>0</v>
      </c>
      <c r="Q245" s="88">
        <f t="shared" si="79"/>
        <v>0</v>
      </c>
      <c r="R245" s="820"/>
    </row>
    <row r="246" spans="1:18" s="64" customFormat="1" ht="12.75">
      <c r="A246" s="823">
        <v>41</v>
      </c>
      <c r="B246" s="826" t="s">
        <v>112</v>
      </c>
      <c r="C246" s="829">
        <v>71095</v>
      </c>
      <c r="D246" s="826" t="s">
        <v>113</v>
      </c>
      <c r="E246" s="816">
        <v>2002</v>
      </c>
      <c r="F246" s="58" t="s">
        <v>14</v>
      </c>
      <c r="G246" s="59" t="s">
        <v>15</v>
      </c>
      <c r="H246" s="60">
        <v>99697.4</v>
      </c>
      <c r="I246" s="81">
        <v>98220</v>
      </c>
      <c r="J246" s="82">
        <v>80165</v>
      </c>
      <c r="K246" s="82">
        <v>58201.66</v>
      </c>
      <c r="L246" s="82">
        <v>50068.65</v>
      </c>
      <c r="M246" s="82">
        <v>27329.16</v>
      </c>
      <c r="N246" s="82"/>
      <c r="O246" s="82"/>
      <c r="P246" s="82"/>
      <c r="Q246" s="83"/>
      <c r="R246" s="818">
        <f>SUM(J246:Q246)</f>
        <v>215764.47</v>
      </c>
    </row>
    <row r="247" spans="1:18" s="64" customFormat="1" ht="12.75">
      <c r="A247" s="824"/>
      <c r="B247" s="827"/>
      <c r="C247" s="830"/>
      <c r="D247" s="827"/>
      <c r="E247" s="817"/>
      <c r="F247" s="66">
        <f>SUM(H250:Q250)</f>
        <v>413681.87000000005</v>
      </c>
      <c r="G247" s="67" t="s">
        <v>16</v>
      </c>
      <c r="H247" s="68"/>
      <c r="I247" s="69"/>
      <c r="J247" s="70"/>
      <c r="K247" s="70"/>
      <c r="L247" s="70"/>
      <c r="M247" s="70"/>
      <c r="N247" s="70"/>
      <c r="O247" s="70"/>
      <c r="P247" s="70"/>
      <c r="Q247" s="71"/>
      <c r="R247" s="819"/>
    </row>
    <row r="248" spans="1:18" s="64" customFormat="1" ht="12.75">
      <c r="A248" s="824"/>
      <c r="B248" s="827"/>
      <c r="C248" s="830"/>
      <c r="D248" s="827"/>
      <c r="E248" s="817"/>
      <c r="F248" s="66" t="s">
        <v>18</v>
      </c>
      <c r="G248" s="67" t="s">
        <v>23</v>
      </c>
      <c r="H248" s="68"/>
      <c r="I248" s="69"/>
      <c r="J248" s="70"/>
      <c r="K248" s="70"/>
      <c r="L248" s="70"/>
      <c r="M248" s="70"/>
      <c r="N248" s="70"/>
      <c r="O248" s="70"/>
      <c r="P248" s="70"/>
      <c r="Q248" s="71"/>
      <c r="R248" s="819"/>
    </row>
    <row r="249" spans="1:18" s="64" customFormat="1" ht="12.75">
      <c r="A249" s="824"/>
      <c r="B249" s="827"/>
      <c r="C249" s="830"/>
      <c r="D249" s="827"/>
      <c r="E249" s="821">
        <v>2015</v>
      </c>
      <c r="F249" s="66">
        <f>SUM(H251:Q251)</f>
        <v>0</v>
      </c>
      <c r="G249" s="67" t="s">
        <v>24</v>
      </c>
      <c r="H249" s="68"/>
      <c r="I249" s="69"/>
      <c r="J249" s="70"/>
      <c r="K249" s="70"/>
      <c r="L249" s="70"/>
      <c r="M249" s="70"/>
      <c r="N249" s="70"/>
      <c r="O249" s="70"/>
      <c r="P249" s="70"/>
      <c r="Q249" s="71"/>
      <c r="R249" s="819"/>
    </row>
    <row r="250" spans="1:18" s="64" customFormat="1" ht="12.75">
      <c r="A250" s="824"/>
      <c r="B250" s="827"/>
      <c r="C250" s="830"/>
      <c r="D250" s="827"/>
      <c r="E250" s="817"/>
      <c r="F250" s="66" t="s">
        <v>22</v>
      </c>
      <c r="G250" s="67" t="s">
        <v>25</v>
      </c>
      <c r="H250" s="72">
        <f aca="true" t="shared" si="80" ref="H250:Q250">H246+H248</f>
        <v>99697.4</v>
      </c>
      <c r="I250" s="84">
        <f t="shared" si="80"/>
        <v>98220</v>
      </c>
      <c r="J250" s="73">
        <f t="shared" si="80"/>
        <v>80165</v>
      </c>
      <c r="K250" s="73">
        <f t="shared" si="80"/>
        <v>58201.66</v>
      </c>
      <c r="L250" s="73">
        <f t="shared" si="80"/>
        <v>50068.65</v>
      </c>
      <c r="M250" s="73">
        <f t="shared" si="80"/>
        <v>27329.16</v>
      </c>
      <c r="N250" s="73">
        <f t="shared" si="80"/>
        <v>0</v>
      </c>
      <c r="O250" s="73">
        <f t="shared" si="80"/>
        <v>0</v>
      </c>
      <c r="P250" s="73">
        <f t="shared" si="80"/>
        <v>0</v>
      </c>
      <c r="Q250" s="74">
        <f t="shared" si="80"/>
        <v>0</v>
      </c>
      <c r="R250" s="819"/>
    </row>
    <row r="251" spans="1:18" s="64" customFormat="1" ht="13.5" thickBot="1">
      <c r="A251" s="824"/>
      <c r="B251" s="828"/>
      <c r="C251" s="831"/>
      <c r="D251" s="828"/>
      <c r="E251" s="822"/>
      <c r="F251" s="75">
        <f>F247+F249</f>
        <v>413681.87000000005</v>
      </c>
      <c r="G251" s="85" t="s">
        <v>26</v>
      </c>
      <c r="H251" s="77">
        <f aca="true" t="shared" si="81" ref="H251:Q251">H247+H249</f>
        <v>0</v>
      </c>
      <c r="I251" s="86">
        <f t="shared" si="81"/>
        <v>0</v>
      </c>
      <c r="J251" s="87">
        <f t="shared" si="81"/>
        <v>0</v>
      </c>
      <c r="K251" s="87">
        <f t="shared" si="81"/>
        <v>0</v>
      </c>
      <c r="L251" s="87">
        <f t="shared" si="81"/>
        <v>0</v>
      </c>
      <c r="M251" s="87">
        <f t="shared" si="81"/>
        <v>0</v>
      </c>
      <c r="N251" s="87">
        <f t="shared" si="81"/>
        <v>0</v>
      </c>
      <c r="O251" s="87">
        <f t="shared" si="81"/>
        <v>0</v>
      </c>
      <c r="P251" s="87">
        <f t="shared" si="81"/>
        <v>0</v>
      </c>
      <c r="Q251" s="88">
        <f t="shared" si="81"/>
        <v>0</v>
      </c>
      <c r="R251" s="820"/>
    </row>
    <row r="252" spans="1:18" s="64" customFormat="1" ht="12.75">
      <c r="A252" s="823">
        <v>42</v>
      </c>
      <c r="B252" s="826" t="s">
        <v>114</v>
      </c>
      <c r="C252" s="829">
        <v>90004</v>
      </c>
      <c r="D252" s="826" t="s">
        <v>115</v>
      </c>
      <c r="E252" s="816">
        <v>2009</v>
      </c>
      <c r="F252" s="58" t="s">
        <v>14</v>
      </c>
      <c r="G252" s="59" t="s">
        <v>15</v>
      </c>
      <c r="H252" s="60">
        <v>479795.15</v>
      </c>
      <c r="I252" s="81">
        <v>107245.11</v>
      </c>
      <c r="J252" s="82">
        <v>229147</v>
      </c>
      <c r="K252" s="82">
        <v>62215.69</v>
      </c>
      <c r="L252" s="82"/>
      <c r="M252" s="82"/>
      <c r="N252" s="82"/>
      <c r="O252" s="82"/>
      <c r="P252" s="82"/>
      <c r="Q252" s="83"/>
      <c r="R252" s="818">
        <f>SUM(J252:Q252)</f>
        <v>291362.69</v>
      </c>
    </row>
    <row r="253" spans="1:18" s="64" customFormat="1" ht="12.75">
      <c r="A253" s="824"/>
      <c r="B253" s="827"/>
      <c r="C253" s="830"/>
      <c r="D253" s="827"/>
      <c r="E253" s="817"/>
      <c r="F253" s="66">
        <f>SUM(H256:Q256)</f>
        <v>878402.95</v>
      </c>
      <c r="G253" s="67" t="s">
        <v>16</v>
      </c>
      <c r="H253" s="68"/>
      <c r="I253" s="69"/>
      <c r="J253" s="70"/>
      <c r="K253" s="70"/>
      <c r="L253" s="70"/>
      <c r="M253" s="70"/>
      <c r="N253" s="70"/>
      <c r="O253" s="70"/>
      <c r="P253" s="70"/>
      <c r="Q253" s="71"/>
      <c r="R253" s="819"/>
    </row>
    <row r="254" spans="1:18" s="64" customFormat="1" ht="12.75">
      <c r="A254" s="824"/>
      <c r="B254" s="827"/>
      <c r="C254" s="830"/>
      <c r="D254" s="827"/>
      <c r="E254" s="817"/>
      <c r="F254" s="66" t="s">
        <v>18</v>
      </c>
      <c r="G254" s="67" t="s">
        <v>23</v>
      </c>
      <c r="H254" s="68"/>
      <c r="I254" s="69"/>
      <c r="J254" s="70"/>
      <c r="K254" s="70"/>
      <c r="L254" s="70"/>
      <c r="M254" s="70"/>
      <c r="N254" s="70"/>
      <c r="O254" s="70"/>
      <c r="P254" s="70"/>
      <c r="Q254" s="71"/>
      <c r="R254" s="819"/>
    </row>
    <row r="255" spans="1:18" s="64" customFormat="1" ht="12.75">
      <c r="A255" s="824"/>
      <c r="B255" s="827"/>
      <c r="C255" s="830"/>
      <c r="D255" s="827"/>
      <c r="E255" s="821">
        <v>2013</v>
      </c>
      <c r="F255" s="66">
        <f>SUM(H257:Q257)</f>
        <v>0</v>
      </c>
      <c r="G255" s="67" t="s">
        <v>24</v>
      </c>
      <c r="H255" s="68"/>
      <c r="I255" s="69"/>
      <c r="J255" s="70"/>
      <c r="K255" s="70"/>
      <c r="L255" s="70"/>
      <c r="M255" s="70"/>
      <c r="N255" s="70"/>
      <c r="O255" s="70"/>
      <c r="P255" s="70"/>
      <c r="Q255" s="71"/>
      <c r="R255" s="819"/>
    </row>
    <row r="256" spans="1:18" s="64" customFormat="1" ht="12.75">
      <c r="A256" s="824"/>
      <c r="B256" s="827"/>
      <c r="C256" s="830"/>
      <c r="D256" s="827"/>
      <c r="E256" s="817"/>
      <c r="F256" s="66" t="s">
        <v>22</v>
      </c>
      <c r="G256" s="67" t="s">
        <v>25</v>
      </c>
      <c r="H256" s="72">
        <f aca="true" t="shared" si="82" ref="H256:Q256">H252+H254</f>
        <v>479795.15</v>
      </c>
      <c r="I256" s="84">
        <f t="shared" si="82"/>
        <v>107245.11</v>
      </c>
      <c r="J256" s="73">
        <f t="shared" si="82"/>
        <v>229147</v>
      </c>
      <c r="K256" s="73">
        <f t="shared" si="82"/>
        <v>62215.69</v>
      </c>
      <c r="L256" s="73">
        <f t="shared" si="82"/>
        <v>0</v>
      </c>
      <c r="M256" s="73">
        <f t="shared" si="82"/>
        <v>0</v>
      </c>
      <c r="N256" s="73">
        <f t="shared" si="82"/>
        <v>0</v>
      </c>
      <c r="O256" s="73">
        <f t="shared" si="82"/>
        <v>0</v>
      </c>
      <c r="P256" s="73">
        <f t="shared" si="82"/>
        <v>0</v>
      </c>
      <c r="Q256" s="74">
        <f t="shared" si="82"/>
        <v>0</v>
      </c>
      <c r="R256" s="819"/>
    </row>
    <row r="257" spans="1:18" s="64" customFormat="1" ht="13.5" thickBot="1">
      <c r="A257" s="825"/>
      <c r="B257" s="828"/>
      <c r="C257" s="831"/>
      <c r="D257" s="828"/>
      <c r="E257" s="822"/>
      <c r="F257" s="75">
        <f>F253+F255</f>
        <v>878402.95</v>
      </c>
      <c r="G257" s="85" t="s">
        <v>26</v>
      </c>
      <c r="H257" s="77">
        <f aca="true" t="shared" si="83" ref="H257:Q257">H253+H255</f>
        <v>0</v>
      </c>
      <c r="I257" s="86">
        <f t="shared" si="83"/>
        <v>0</v>
      </c>
      <c r="J257" s="87">
        <f t="shared" si="83"/>
        <v>0</v>
      </c>
      <c r="K257" s="87">
        <f t="shared" si="83"/>
        <v>0</v>
      </c>
      <c r="L257" s="87">
        <f t="shared" si="83"/>
        <v>0</v>
      </c>
      <c r="M257" s="87">
        <f t="shared" si="83"/>
        <v>0</v>
      </c>
      <c r="N257" s="87">
        <f t="shared" si="83"/>
        <v>0</v>
      </c>
      <c r="O257" s="87">
        <f t="shared" si="83"/>
        <v>0</v>
      </c>
      <c r="P257" s="87">
        <f t="shared" si="83"/>
        <v>0</v>
      </c>
      <c r="Q257" s="88">
        <f t="shared" si="83"/>
        <v>0</v>
      </c>
      <c r="R257" s="820"/>
    </row>
    <row r="258" spans="1:18" s="64" customFormat="1" ht="12.75">
      <c r="A258" s="823">
        <v>43</v>
      </c>
      <c r="B258" s="826" t="s">
        <v>116</v>
      </c>
      <c r="C258" s="829">
        <v>85154</v>
      </c>
      <c r="D258" s="826" t="s">
        <v>117</v>
      </c>
      <c r="E258" s="816">
        <v>2009</v>
      </c>
      <c r="F258" s="58" t="s">
        <v>14</v>
      </c>
      <c r="G258" s="59" t="s">
        <v>15</v>
      </c>
      <c r="H258" s="60">
        <v>1380350</v>
      </c>
      <c r="I258" s="81">
        <v>1781817</v>
      </c>
      <c r="J258" s="82">
        <v>895580</v>
      </c>
      <c r="K258" s="82"/>
      <c r="L258" s="82"/>
      <c r="M258" s="82"/>
      <c r="N258" s="82"/>
      <c r="O258" s="82"/>
      <c r="P258" s="82"/>
      <c r="Q258" s="83"/>
      <c r="R258" s="818">
        <f>SUM(J258:Q258)</f>
        <v>895580</v>
      </c>
    </row>
    <row r="259" spans="1:18" s="64" customFormat="1" ht="12.75">
      <c r="A259" s="824"/>
      <c r="B259" s="827"/>
      <c r="C259" s="830"/>
      <c r="D259" s="827"/>
      <c r="E259" s="817"/>
      <c r="F259" s="66">
        <f>SUM(H262:Q262)</f>
        <v>4057747</v>
      </c>
      <c r="G259" s="67" t="s">
        <v>16</v>
      </c>
      <c r="H259" s="68"/>
      <c r="I259" s="69"/>
      <c r="J259" s="70"/>
      <c r="K259" s="70"/>
      <c r="L259" s="70"/>
      <c r="M259" s="70"/>
      <c r="N259" s="70"/>
      <c r="O259" s="70"/>
      <c r="P259" s="70"/>
      <c r="Q259" s="71"/>
      <c r="R259" s="819"/>
    </row>
    <row r="260" spans="1:18" s="64" customFormat="1" ht="12.75">
      <c r="A260" s="824"/>
      <c r="B260" s="827"/>
      <c r="C260" s="830"/>
      <c r="D260" s="827"/>
      <c r="E260" s="817"/>
      <c r="F260" s="66" t="s">
        <v>18</v>
      </c>
      <c r="G260" s="67" t="s">
        <v>23</v>
      </c>
      <c r="H260" s="68"/>
      <c r="I260" s="69"/>
      <c r="J260" s="70"/>
      <c r="K260" s="70"/>
      <c r="L260" s="70"/>
      <c r="M260" s="70"/>
      <c r="N260" s="70"/>
      <c r="O260" s="70"/>
      <c r="P260" s="70"/>
      <c r="Q260" s="71"/>
      <c r="R260" s="819"/>
    </row>
    <row r="261" spans="1:18" s="64" customFormat="1" ht="12.75">
      <c r="A261" s="824"/>
      <c r="B261" s="827"/>
      <c r="C261" s="830"/>
      <c r="D261" s="827"/>
      <c r="E261" s="821">
        <v>2012</v>
      </c>
      <c r="F261" s="66">
        <f>SUM(H263:Q263)</f>
        <v>0</v>
      </c>
      <c r="G261" s="67" t="s">
        <v>24</v>
      </c>
      <c r="H261" s="68"/>
      <c r="I261" s="69"/>
      <c r="J261" s="70"/>
      <c r="K261" s="70"/>
      <c r="L261" s="70"/>
      <c r="M261" s="70"/>
      <c r="N261" s="70"/>
      <c r="O261" s="70"/>
      <c r="P261" s="70"/>
      <c r="Q261" s="71"/>
      <c r="R261" s="819"/>
    </row>
    <row r="262" spans="1:18" s="64" customFormat="1" ht="12.75">
      <c r="A262" s="824"/>
      <c r="B262" s="827"/>
      <c r="C262" s="830"/>
      <c r="D262" s="827"/>
      <c r="E262" s="817"/>
      <c r="F262" s="66" t="s">
        <v>22</v>
      </c>
      <c r="G262" s="67" t="s">
        <v>25</v>
      </c>
      <c r="H262" s="72">
        <f aca="true" t="shared" si="84" ref="H262:Q262">H258+H260</f>
        <v>1380350</v>
      </c>
      <c r="I262" s="84">
        <f t="shared" si="84"/>
        <v>1781817</v>
      </c>
      <c r="J262" s="73">
        <f t="shared" si="84"/>
        <v>895580</v>
      </c>
      <c r="K262" s="73">
        <f t="shared" si="84"/>
        <v>0</v>
      </c>
      <c r="L262" s="73">
        <f t="shared" si="84"/>
        <v>0</v>
      </c>
      <c r="M262" s="73">
        <f t="shared" si="84"/>
        <v>0</v>
      </c>
      <c r="N262" s="73">
        <f t="shared" si="84"/>
        <v>0</v>
      </c>
      <c r="O262" s="73">
        <f t="shared" si="84"/>
        <v>0</v>
      </c>
      <c r="P262" s="73">
        <f t="shared" si="84"/>
        <v>0</v>
      </c>
      <c r="Q262" s="74">
        <f t="shared" si="84"/>
        <v>0</v>
      </c>
      <c r="R262" s="819"/>
    </row>
    <row r="263" spans="1:18" s="64" customFormat="1" ht="13.5" thickBot="1">
      <c r="A263" s="824"/>
      <c r="B263" s="828"/>
      <c r="C263" s="831"/>
      <c r="D263" s="828"/>
      <c r="E263" s="822"/>
      <c r="F263" s="75">
        <f>F259+F261</f>
        <v>4057747</v>
      </c>
      <c r="G263" s="85" t="s">
        <v>26</v>
      </c>
      <c r="H263" s="77">
        <f aca="true" t="shared" si="85" ref="H263:Q263">H259+H261</f>
        <v>0</v>
      </c>
      <c r="I263" s="86">
        <f t="shared" si="85"/>
        <v>0</v>
      </c>
      <c r="J263" s="87">
        <f t="shared" si="85"/>
        <v>0</v>
      </c>
      <c r="K263" s="87">
        <f t="shared" si="85"/>
        <v>0</v>
      </c>
      <c r="L263" s="87">
        <f t="shared" si="85"/>
        <v>0</v>
      </c>
      <c r="M263" s="87">
        <f t="shared" si="85"/>
        <v>0</v>
      </c>
      <c r="N263" s="87">
        <f t="shared" si="85"/>
        <v>0</v>
      </c>
      <c r="O263" s="87">
        <f t="shared" si="85"/>
        <v>0</v>
      </c>
      <c r="P263" s="87">
        <f t="shared" si="85"/>
        <v>0</v>
      </c>
      <c r="Q263" s="88">
        <f t="shared" si="85"/>
        <v>0</v>
      </c>
      <c r="R263" s="820"/>
    </row>
    <row r="264" spans="1:18" s="64" customFormat="1" ht="12.75">
      <c r="A264" s="823">
        <v>44</v>
      </c>
      <c r="B264" s="826" t="s">
        <v>118</v>
      </c>
      <c r="C264" s="829">
        <v>71095</v>
      </c>
      <c r="D264" s="826" t="s">
        <v>119</v>
      </c>
      <c r="E264" s="816">
        <v>2010</v>
      </c>
      <c r="F264" s="58" t="s">
        <v>14</v>
      </c>
      <c r="G264" s="59" t="s">
        <v>15</v>
      </c>
      <c r="H264" s="60">
        <v>50000</v>
      </c>
      <c r="I264" s="81">
        <v>100000</v>
      </c>
      <c r="J264" s="82">
        <v>100000</v>
      </c>
      <c r="K264" s="82">
        <v>100000</v>
      </c>
      <c r="L264" s="82"/>
      <c r="M264" s="82"/>
      <c r="N264" s="82"/>
      <c r="O264" s="82"/>
      <c r="P264" s="82"/>
      <c r="Q264" s="83"/>
      <c r="R264" s="818">
        <f>SUM(J264:Q264)</f>
        <v>200000</v>
      </c>
    </row>
    <row r="265" spans="1:18" s="64" customFormat="1" ht="12.75">
      <c r="A265" s="824"/>
      <c r="B265" s="827"/>
      <c r="C265" s="830"/>
      <c r="D265" s="827"/>
      <c r="E265" s="817"/>
      <c r="F265" s="66">
        <f>SUM(H268:Q268)</f>
        <v>350000</v>
      </c>
      <c r="G265" s="67" t="s">
        <v>16</v>
      </c>
      <c r="H265" s="68"/>
      <c r="I265" s="69"/>
      <c r="J265" s="70"/>
      <c r="K265" s="70"/>
      <c r="L265" s="70"/>
      <c r="M265" s="70"/>
      <c r="N265" s="70"/>
      <c r="O265" s="70"/>
      <c r="P265" s="70"/>
      <c r="Q265" s="71"/>
      <c r="R265" s="819"/>
    </row>
    <row r="266" spans="1:18" s="64" customFormat="1" ht="12.75">
      <c r="A266" s="824"/>
      <c r="B266" s="827"/>
      <c r="C266" s="830"/>
      <c r="D266" s="827"/>
      <c r="E266" s="817"/>
      <c r="F266" s="66" t="s">
        <v>18</v>
      </c>
      <c r="G266" s="67" t="s">
        <v>23</v>
      </c>
      <c r="H266" s="68"/>
      <c r="I266" s="69"/>
      <c r="J266" s="70"/>
      <c r="K266" s="70"/>
      <c r="L266" s="70"/>
      <c r="M266" s="70"/>
      <c r="N266" s="70"/>
      <c r="O266" s="70"/>
      <c r="P266" s="70"/>
      <c r="Q266" s="71"/>
      <c r="R266" s="819"/>
    </row>
    <row r="267" spans="1:18" s="64" customFormat="1" ht="12.75">
      <c r="A267" s="824"/>
      <c r="B267" s="827"/>
      <c r="C267" s="830"/>
      <c r="D267" s="827"/>
      <c r="E267" s="821">
        <v>2013</v>
      </c>
      <c r="F267" s="66">
        <f>SUM(H269:Q269)</f>
        <v>0</v>
      </c>
      <c r="G267" s="67" t="s">
        <v>24</v>
      </c>
      <c r="H267" s="68"/>
      <c r="I267" s="69"/>
      <c r="J267" s="70"/>
      <c r="K267" s="70"/>
      <c r="L267" s="70"/>
      <c r="M267" s="70"/>
      <c r="N267" s="70"/>
      <c r="O267" s="70"/>
      <c r="P267" s="70"/>
      <c r="Q267" s="71"/>
      <c r="R267" s="819"/>
    </row>
    <row r="268" spans="1:18" s="64" customFormat="1" ht="12.75">
      <c r="A268" s="824"/>
      <c r="B268" s="827"/>
      <c r="C268" s="830"/>
      <c r="D268" s="827"/>
      <c r="E268" s="817"/>
      <c r="F268" s="66" t="s">
        <v>22</v>
      </c>
      <c r="G268" s="67" t="s">
        <v>25</v>
      </c>
      <c r="H268" s="72">
        <f aca="true" t="shared" si="86" ref="H268:Q268">H264+H266</f>
        <v>50000</v>
      </c>
      <c r="I268" s="84">
        <f t="shared" si="86"/>
        <v>100000</v>
      </c>
      <c r="J268" s="73">
        <f t="shared" si="86"/>
        <v>100000</v>
      </c>
      <c r="K268" s="73">
        <f t="shared" si="86"/>
        <v>100000</v>
      </c>
      <c r="L268" s="73">
        <f t="shared" si="86"/>
        <v>0</v>
      </c>
      <c r="M268" s="73">
        <f t="shared" si="86"/>
        <v>0</v>
      </c>
      <c r="N268" s="73">
        <f t="shared" si="86"/>
        <v>0</v>
      </c>
      <c r="O268" s="73">
        <f t="shared" si="86"/>
        <v>0</v>
      </c>
      <c r="P268" s="73">
        <f t="shared" si="86"/>
        <v>0</v>
      </c>
      <c r="Q268" s="74">
        <f t="shared" si="86"/>
        <v>0</v>
      </c>
      <c r="R268" s="819"/>
    </row>
    <row r="269" spans="1:18" s="64" customFormat="1" ht="13.5" thickBot="1">
      <c r="A269" s="825"/>
      <c r="B269" s="828"/>
      <c r="C269" s="831"/>
      <c r="D269" s="828"/>
      <c r="E269" s="822"/>
      <c r="F269" s="75">
        <f>F265+F267</f>
        <v>350000</v>
      </c>
      <c r="G269" s="85" t="s">
        <v>26</v>
      </c>
      <c r="H269" s="77">
        <f aca="true" t="shared" si="87" ref="H269:Q269">H265+H267</f>
        <v>0</v>
      </c>
      <c r="I269" s="86">
        <f t="shared" si="87"/>
        <v>0</v>
      </c>
      <c r="J269" s="87">
        <f t="shared" si="87"/>
        <v>0</v>
      </c>
      <c r="K269" s="87">
        <f t="shared" si="87"/>
        <v>0</v>
      </c>
      <c r="L269" s="87">
        <f t="shared" si="87"/>
        <v>0</v>
      </c>
      <c r="M269" s="87">
        <f t="shared" si="87"/>
        <v>0</v>
      </c>
      <c r="N269" s="87">
        <f t="shared" si="87"/>
        <v>0</v>
      </c>
      <c r="O269" s="87">
        <f t="shared" si="87"/>
        <v>0</v>
      </c>
      <c r="P269" s="87">
        <f t="shared" si="87"/>
        <v>0</v>
      </c>
      <c r="Q269" s="88">
        <f t="shared" si="87"/>
        <v>0</v>
      </c>
      <c r="R269" s="820"/>
    </row>
    <row r="270" spans="1:18" s="64" customFormat="1" ht="13.5" thickBot="1">
      <c r="A270" s="868" t="s">
        <v>120</v>
      </c>
      <c r="B270" s="869"/>
      <c r="C270" s="869"/>
      <c r="D270" s="869"/>
      <c r="E270" s="869"/>
      <c r="F270" s="869"/>
      <c r="G270" s="870"/>
      <c r="H270" s="106">
        <f aca="true" t="shared" si="88" ref="H270:P270">SUM(H264,H258,H252,H246,H240,H234,H228,H222,H216,H210,H204,H198,H192,H186,H180,H174,H168,H162,H156,H150,H144,H138,H132,H126)+SUM(H120,H114,H108,H102,H96,H90,H84,H78,H72,H66,H60,H54,H48,H42,H36,H30,H24,H18,H12,H6)</f>
        <v>49812574.55</v>
      </c>
      <c r="I270" s="106">
        <f t="shared" si="88"/>
        <v>198170452.73000002</v>
      </c>
      <c r="J270" s="106">
        <f t="shared" si="88"/>
        <v>199266000.76</v>
      </c>
      <c r="K270" s="106">
        <f t="shared" si="88"/>
        <v>181677642.35</v>
      </c>
      <c r="L270" s="106">
        <f t="shared" si="88"/>
        <v>171537016.97</v>
      </c>
      <c r="M270" s="106">
        <f t="shared" si="88"/>
        <v>170432522.10999998</v>
      </c>
      <c r="N270" s="106">
        <f t="shared" si="88"/>
        <v>172708218.66</v>
      </c>
      <c r="O270" s="106">
        <f t="shared" si="88"/>
        <v>179617661.91</v>
      </c>
      <c r="P270" s="106">
        <f t="shared" si="88"/>
        <v>186801051.01</v>
      </c>
      <c r="Q270" s="107"/>
      <c r="R270" s="106">
        <f>SUM(R6:R269)</f>
        <v>1274321889.77</v>
      </c>
    </row>
    <row r="271" spans="4:18" s="64" customFormat="1" ht="12.75">
      <c r="D271" s="108"/>
      <c r="E271" s="109"/>
      <c r="R271" s="110"/>
    </row>
    <row r="272" spans="4:18" s="64" customFormat="1" ht="12.75">
      <c r="D272" s="108"/>
      <c r="E272" s="109"/>
      <c r="R272" s="110"/>
    </row>
    <row r="273" spans="4:18" s="64" customFormat="1" ht="12.75">
      <c r="D273" s="108"/>
      <c r="E273" s="109"/>
      <c r="R273" s="110"/>
    </row>
    <row r="274" spans="4:18" s="64" customFormat="1" ht="12.75">
      <c r="D274" s="108"/>
      <c r="E274" s="109"/>
      <c r="R274" s="110"/>
    </row>
    <row r="275" spans="4:18" s="64" customFormat="1" ht="12.75">
      <c r="D275" s="108"/>
      <c r="E275" s="109"/>
      <c r="R275" s="110"/>
    </row>
    <row r="276" spans="4:5" s="64" customFormat="1" ht="12.75">
      <c r="D276" s="108"/>
      <c r="E276" s="109"/>
    </row>
    <row r="277" spans="4:5" s="64" customFormat="1" ht="12.75">
      <c r="D277" s="108"/>
      <c r="E277" s="109"/>
    </row>
    <row r="278" spans="4:5" s="64" customFormat="1" ht="12.75">
      <c r="D278" s="108"/>
      <c r="E278" s="109"/>
    </row>
    <row r="279" spans="4:5" s="64" customFormat="1" ht="12.75">
      <c r="D279" s="108"/>
      <c r="E279" s="109"/>
    </row>
    <row r="280" spans="4:5" s="64" customFormat="1" ht="12.75">
      <c r="D280" s="108"/>
      <c r="E280" s="109"/>
    </row>
    <row r="281" spans="4:5" s="64" customFormat="1" ht="12.75">
      <c r="D281" s="108"/>
      <c r="E281" s="109"/>
    </row>
    <row r="282" spans="4:5" s="64" customFormat="1" ht="12.75">
      <c r="D282" s="108"/>
      <c r="E282" s="109"/>
    </row>
    <row r="283" spans="4:5" s="64" customFormat="1" ht="12.75">
      <c r="D283" s="108"/>
      <c r="E283" s="109"/>
    </row>
    <row r="284" spans="4:5" s="64" customFormat="1" ht="12.75">
      <c r="D284" s="108"/>
      <c r="E284" s="109"/>
    </row>
    <row r="285" spans="4:5" s="64" customFormat="1" ht="12.75">
      <c r="D285" s="108"/>
      <c r="E285" s="109"/>
    </row>
    <row r="286" spans="4:5" s="64" customFormat="1" ht="12.75">
      <c r="D286" s="108"/>
      <c r="E286" s="109"/>
    </row>
    <row r="287" spans="4:5" s="64" customFormat="1" ht="12.75">
      <c r="D287" s="108"/>
      <c r="E287" s="109"/>
    </row>
    <row r="288" spans="4:5" s="64" customFormat="1" ht="12.75">
      <c r="D288" s="108"/>
      <c r="E288" s="109"/>
    </row>
    <row r="289" spans="4:5" s="64" customFormat="1" ht="12.75">
      <c r="D289" s="108"/>
      <c r="E289" s="109"/>
    </row>
    <row r="290" spans="4:5" s="64" customFormat="1" ht="12.75">
      <c r="D290" s="108"/>
      <c r="E290" s="109"/>
    </row>
    <row r="291" spans="4:5" s="64" customFormat="1" ht="12.75">
      <c r="D291" s="108"/>
      <c r="E291" s="109"/>
    </row>
    <row r="292" spans="4:5" s="64" customFormat="1" ht="12.75">
      <c r="D292" s="108"/>
      <c r="E292" s="109"/>
    </row>
    <row r="293" spans="4:5" s="64" customFormat="1" ht="12.75">
      <c r="D293" s="108"/>
      <c r="E293" s="109"/>
    </row>
    <row r="294" spans="4:5" s="64" customFormat="1" ht="12.75">
      <c r="D294" s="108"/>
      <c r="E294" s="109"/>
    </row>
    <row r="295" spans="4:5" s="64" customFormat="1" ht="12.75">
      <c r="D295" s="108"/>
      <c r="E295" s="109"/>
    </row>
    <row r="296" spans="4:5" s="64" customFormat="1" ht="12.75">
      <c r="D296" s="108"/>
      <c r="E296" s="109"/>
    </row>
    <row r="297" spans="4:5" s="64" customFormat="1" ht="12.75">
      <c r="D297" s="108"/>
      <c r="E297" s="109"/>
    </row>
    <row r="298" spans="4:5" s="64" customFormat="1" ht="12.75">
      <c r="D298" s="108"/>
      <c r="E298" s="109"/>
    </row>
    <row r="299" spans="4:5" s="64" customFormat="1" ht="12.75">
      <c r="D299" s="108"/>
      <c r="E299" s="109"/>
    </row>
    <row r="300" spans="4:5" s="64" customFormat="1" ht="12.75">
      <c r="D300" s="108"/>
      <c r="E300" s="109"/>
    </row>
    <row r="301" spans="4:5" s="64" customFormat="1" ht="12.75">
      <c r="D301" s="108"/>
      <c r="E301" s="109"/>
    </row>
    <row r="302" spans="4:5" s="64" customFormat="1" ht="12.75">
      <c r="D302" s="108"/>
      <c r="E302" s="109"/>
    </row>
    <row r="303" spans="4:5" s="64" customFormat="1" ht="12.75">
      <c r="D303" s="108"/>
      <c r="E303" s="109"/>
    </row>
    <row r="304" spans="4:5" s="64" customFormat="1" ht="12.75">
      <c r="D304" s="108"/>
      <c r="E304" s="109"/>
    </row>
    <row r="305" spans="4:5" s="64" customFormat="1" ht="12.75">
      <c r="D305" s="108"/>
      <c r="E305" s="109"/>
    </row>
    <row r="306" spans="4:5" s="64" customFormat="1" ht="12.75">
      <c r="D306" s="108"/>
      <c r="E306" s="109"/>
    </row>
    <row r="307" spans="4:5" s="64" customFormat="1" ht="12.75">
      <c r="D307" s="108"/>
      <c r="E307" s="109"/>
    </row>
    <row r="308" spans="4:5" s="64" customFormat="1" ht="12.75">
      <c r="D308" s="108"/>
      <c r="E308" s="109"/>
    </row>
    <row r="309" spans="4:5" s="64" customFormat="1" ht="12.75">
      <c r="D309" s="108"/>
      <c r="E309" s="109"/>
    </row>
    <row r="310" spans="4:5" s="64" customFormat="1" ht="12.75">
      <c r="D310" s="108"/>
      <c r="E310" s="109"/>
    </row>
    <row r="311" spans="4:5" s="64" customFormat="1" ht="12.75">
      <c r="D311" s="108"/>
      <c r="E311" s="109"/>
    </row>
    <row r="312" spans="4:5" s="64" customFormat="1" ht="12.75">
      <c r="D312" s="108"/>
      <c r="E312" s="109"/>
    </row>
    <row r="313" spans="4:5" s="64" customFormat="1" ht="12.75">
      <c r="D313" s="108"/>
      <c r="E313" s="109"/>
    </row>
    <row r="314" spans="4:5" s="64" customFormat="1" ht="12.75">
      <c r="D314" s="108"/>
      <c r="E314" s="109"/>
    </row>
    <row r="315" spans="4:5" s="64" customFormat="1" ht="12.75">
      <c r="D315" s="108"/>
      <c r="E315" s="109"/>
    </row>
    <row r="316" spans="4:5" s="64" customFormat="1" ht="12.75">
      <c r="D316" s="108"/>
      <c r="E316" s="109"/>
    </row>
    <row r="317" spans="4:5" s="64" customFormat="1" ht="12.75">
      <c r="D317" s="108"/>
      <c r="E317" s="109"/>
    </row>
    <row r="318" spans="4:5" s="64" customFormat="1" ht="12.75">
      <c r="D318" s="108"/>
      <c r="E318" s="109"/>
    </row>
    <row r="319" spans="4:5" s="64" customFormat="1" ht="12.75">
      <c r="D319" s="108"/>
      <c r="E319" s="109"/>
    </row>
    <row r="320" spans="4:5" s="64" customFormat="1" ht="12.75">
      <c r="D320" s="108"/>
      <c r="E320" s="109"/>
    </row>
    <row r="321" spans="4:5" s="64" customFormat="1" ht="12.75">
      <c r="D321" s="108"/>
      <c r="E321" s="109"/>
    </row>
    <row r="322" spans="4:5" s="64" customFormat="1" ht="12.75">
      <c r="D322" s="108"/>
      <c r="E322" s="109"/>
    </row>
    <row r="323" spans="4:5" s="64" customFormat="1" ht="12.75">
      <c r="D323" s="108"/>
      <c r="E323" s="109"/>
    </row>
    <row r="324" spans="4:5" s="64" customFormat="1" ht="12.75">
      <c r="D324" s="108"/>
      <c r="E324" s="109"/>
    </row>
    <row r="325" spans="4:5" s="64" customFormat="1" ht="12.75">
      <c r="D325" s="108"/>
      <c r="E325" s="109"/>
    </row>
    <row r="326" spans="4:5" s="64" customFormat="1" ht="12.75">
      <c r="D326" s="108"/>
      <c r="E326" s="109"/>
    </row>
    <row r="327" spans="4:5" s="64" customFormat="1" ht="12.75">
      <c r="D327" s="108"/>
      <c r="E327" s="109"/>
    </row>
    <row r="328" spans="4:5" s="64" customFormat="1" ht="12.75">
      <c r="D328" s="108"/>
      <c r="E328" s="109"/>
    </row>
  </sheetData>
  <mergeCells count="315">
    <mergeCell ref="I4:P4"/>
    <mergeCell ref="A270:G270"/>
    <mergeCell ref="E264:E266"/>
    <mergeCell ref="R264:R269"/>
    <mergeCell ref="E267:E269"/>
    <mergeCell ref="A264:A269"/>
    <mergeCell ref="B264:B269"/>
    <mergeCell ref="C264:C269"/>
    <mergeCell ref="D264:D269"/>
    <mergeCell ref="E258:E260"/>
    <mergeCell ref="R258:R263"/>
    <mergeCell ref="E261:E263"/>
    <mergeCell ref="A258:A263"/>
    <mergeCell ref="B258:B263"/>
    <mergeCell ref="C258:C263"/>
    <mergeCell ref="D258:D263"/>
    <mergeCell ref="E210:E212"/>
    <mergeCell ref="R210:R215"/>
    <mergeCell ref="E213:E215"/>
    <mergeCell ref="B3:R3"/>
    <mergeCell ref="E198:E200"/>
    <mergeCell ref="R198:R203"/>
    <mergeCell ref="E201:E203"/>
    <mergeCell ref="E204:E206"/>
    <mergeCell ref="R204:R209"/>
    <mergeCell ref="E207:E209"/>
    <mergeCell ref="A210:A215"/>
    <mergeCell ref="B210:B215"/>
    <mergeCell ref="C210:C215"/>
    <mergeCell ref="D210:D215"/>
    <mergeCell ref="A204:A209"/>
    <mergeCell ref="B204:B209"/>
    <mergeCell ref="C204:C209"/>
    <mergeCell ref="D204:D209"/>
    <mergeCell ref="A198:A203"/>
    <mergeCell ref="B198:B203"/>
    <mergeCell ref="C198:C203"/>
    <mergeCell ref="D198:D203"/>
    <mergeCell ref="A246:A251"/>
    <mergeCell ref="B246:B251"/>
    <mergeCell ref="C246:C251"/>
    <mergeCell ref="D246:D251"/>
    <mergeCell ref="E246:E248"/>
    <mergeCell ref="R246:R251"/>
    <mergeCell ref="E249:E251"/>
    <mergeCell ref="E186:E188"/>
    <mergeCell ref="R186:R191"/>
    <mergeCell ref="E189:E191"/>
    <mergeCell ref="E192:E194"/>
    <mergeCell ref="R192:R197"/>
    <mergeCell ref="E195:E197"/>
    <mergeCell ref="E222:E224"/>
    <mergeCell ref="A192:A197"/>
    <mergeCell ref="B192:B197"/>
    <mergeCell ref="C192:C197"/>
    <mergeCell ref="D192:D197"/>
    <mergeCell ref="A186:A191"/>
    <mergeCell ref="B186:B191"/>
    <mergeCell ref="C186:C191"/>
    <mergeCell ref="D186:D191"/>
    <mergeCell ref="E174:E176"/>
    <mergeCell ref="R174:R179"/>
    <mergeCell ref="E177:E179"/>
    <mergeCell ref="A180:A185"/>
    <mergeCell ref="B180:B185"/>
    <mergeCell ref="C180:C185"/>
    <mergeCell ref="D180:D185"/>
    <mergeCell ref="E180:E182"/>
    <mergeCell ref="R180:R185"/>
    <mergeCell ref="E183:E185"/>
    <mergeCell ref="A174:A179"/>
    <mergeCell ref="B174:B179"/>
    <mergeCell ref="C174:C179"/>
    <mergeCell ref="D174:D179"/>
    <mergeCell ref="E162:E164"/>
    <mergeCell ref="R162:R167"/>
    <mergeCell ref="E165:E167"/>
    <mergeCell ref="A168:A173"/>
    <mergeCell ref="B168:B173"/>
    <mergeCell ref="C168:C173"/>
    <mergeCell ref="D168:D173"/>
    <mergeCell ref="E168:E170"/>
    <mergeCell ref="R168:R173"/>
    <mergeCell ref="E171:E173"/>
    <mergeCell ref="A162:A167"/>
    <mergeCell ref="B162:B167"/>
    <mergeCell ref="C162:C167"/>
    <mergeCell ref="D162:D167"/>
    <mergeCell ref="E156:E158"/>
    <mergeCell ref="R156:R161"/>
    <mergeCell ref="E159:E161"/>
    <mergeCell ref="A252:A257"/>
    <mergeCell ref="B252:B257"/>
    <mergeCell ref="C252:C257"/>
    <mergeCell ref="D252:D257"/>
    <mergeCell ref="E252:E254"/>
    <mergeCell ref="R252:R257"/>
    <mergeCell ref="E255:E257"/>
    <mergeCell ref="A156:A161"/>
    <mergeCell ref="B156:B161"/>
    <mergeCell ref="C156:C161"/>
    <mergeCell ref="D156:D161"/>
    <mergeCell ref="E144:E146"/>
    <mergeCell ref="R144:R149"/>
    <mergeCell ref="E147:E149"/>
    <mergeCell ref="A150:A155"/>
    <mergeCell ref="B150:B155"/>
    <mergeCell ref="C150:C155"/>
    <mergeCell ref="D150:D155"/>
    <mergeCell ref="E150:E152"/>
    <mergeCell ref="R150:R155"/>
    <mergeCell ref="E153:E155"/>
    <mergeCell ref="A144:A149"/>
    <mergeCell ref="B144:B149"/>
    <mergeCell ref="C144:C149"/>
    <mergeCell ref="D144:D149"/>
    <mergeCell ref="E132:E134"/>
    <mergeCell ref="R132:R137"/>
    <mergeCell ref="E135:E137"/>
    <mergeCell ref="A138:A143"/>
    <mergeCell ref="B138:B143"/>
    <mergeCell ref="C138:C143"/>
    <mergeCell ref="D138:D143"/>
    <mergeCell ref="E138:E140"/>
    <mergeCell ref="R138:R143"/>
    <mergeCell ref="E141:E143"/>
    <mergeCell ref="A132:A137"/>
    <mergeCell ref="B132:B137"/>
    <mergeCell ref="C132:C137"/>
    <mergeCell ref="D132:D137"/>
    <mergeCell ref="E120:E122"/>
    <mergeCell ref="R120:R125"/>
    <mergeCell ref="E123:E125"/>
    <mergeCell ref="A126:A131"/>
    <mergeCell ref="B126:B131"/>
    <mergeCell ref="C126:C131"/>
    <mergeCell ref="D126:D131"/>
    <mergeCell ref="E126:E128"/>
    <mergeCell ref="R126:R131"/>
    <mergeCell ref="E129:E131"/>
    <mergeCell ref="A120:A125"/>
    <mergeCell ref="B120:B125"/>
    <mergeCell ref="C120:C125"/>
    <mergeCell ref="D120:D125"/>
    <mergeCell ref="E108:E110"/>
    <mergeCell ref="R108:R113"/>
    <mergeCell ref="E111:E113"/>
    <mergeCell ref="A114:A119"/>
    <mergeCell ref="B114:B119"/>
    <mergeCell ref="C114:C119"/>
    <mergeCell ref="D114:D119"/>
    <mergeCell ref="E114:E116"/>
    <mergeCell ref="R114:R119"/>
    <mergeCell ref="E117:E119"/>
    <mergeCell ref="A108:A113"/>
    <mergeCell ref="B108:B113"/>
    <mergeCell ref="C108:C113"/>
    <mergeCell ref="D108:D113"/>
    <mergeCell ref="E96:E98"/>
    <mergeCell ref="R96:R101"/>
    <mergeCell ref="E99:E101"/>
    <mergeCell ref="A102:A107"/>
    <mergeCell ref="B102:B107"/>
    <mergeCell ref="C102:C107"/>
    <mergeCell ref="D102:D107"/>
    <mergeCell ref="E102:E104"/>
    <mergeCell ref="R102:R107"/>
    <mergeCell ref="E105:E107"/>
    <mergeCell ref="A96:A101"/>
    <mergeCell ref="B96:B101"/>
    <mergeCell ref="C96:C101"/>
    <mergeCell ref="D96:D101"/>
    <mergeCell ref="A90:A95"/>
    <mergeCell ref="B90:B95"/>
    <mergeCell ref="C90:C95"/>
    <mergeCell ref="D90:D95"/>
    <mergeCell ref="E90:E92"/>
    <mergeCell ref="R90:R95"/>
    <mergeCell ref="E93:E95"/>
    <mergeCell ref="E78:E80"/>
    <mergeCell ref="R78:R83"/>
    <mergeCell ref="E81:E83"/>
    <mergeCell ref="E84:E86"/>
    <mergeCell ref="R84:R89"/>
    <mergeCell ref="E87:E89"/>
    <mergeCell ref="A84:A89"/>
    <mergeCell ref="B84:B89"/>
    <mergeCell ref="C84:C89"/>
    <mergeCell ref="D84:D89"/>
    <mergeCell ref="A78:A83"/>
    <mergeCell ref="B78:B83"/>
    <mergeCell ref="C78:C83"/>
    <mergeCell ref="D78:D83"/>
    <mergeCell ref="E72:E74"/>
    <mergeCell ref="R72:R77"/>
    <mergeCell ref="E75:E77"/>
    <mergeCell ref="A66:A71"/>
    <mergeCell ref="A72:A77"/>
    <mergeCell ref="B72:B77"/>
    <mergeCell ref="C72:C77"/>
    <mergeCell ref="D72:D77"/>
    <mergeCell ref="B66:B71"/>
    <mergeCell ref="C66:C71"/>
    <mergeCell ref="D66:D71"/>
    <mergeCell ref="R54:R59"/>
    <mergeCell ref="E57:E59"/>
    <mergeCell ref="E60:E62"/>
    <mergeCell ref="R60:R65"/>
    <mergeCell ref="E63:E65"/>
    <mergeCell ref="R66:R71"/>
    <mergeCell ref="E69:E71"/>
    <mergeCell ref="A60:A65"/>
    <mergeCell ref="B60:B65"/>
    <mergeCell ref="C60:C65"/>
    <mergeCell ref="D60:D65"/>
    <mergeCell ref="A54:A59"/>
    <mergeCell ref="B54:B59"/>
    <mergeCell ref="C54:C59"/>
    <mergeCell ref="D54:D59"/>
    <mergeCell ref="R42:R47"/>
    <mergeCell ref="E45:E47"/>
    <mergeCell ref="A48:A53"/>
    <mergeCell ref="B48:B53"/>
    <mergeCell ref="C48:C53"/>
    <mergeCell ref="D48:D53"/>
    <mergeCell ref="E48:E50"/>
    <mergeCell ref="R48:R53"/>
    <mergeCell ref="E51:E53"/>
    <mergeCell ref="A42:A47"/>
    <mergeCell ref="B42:B47"/>
    <mergeCell ref="C42:C47"/>
    <mergeCell ref="D42:D47"/>
    <mergeCell ref="H4:H5"/>
    <mergeCell ref="A4:A5"/>
    <mergeCell ref="B4:B5"/>
    <mergeCell ref="C4:C5"/>
    <mergeCell ref="D4:D5"/>
    <mergeCell ref="R4:R5"/>
    <mergeCell ref="A6:A11"/>
    <mergeCell ref="B6:B11"/>
    <mergeCell ref="D6:D11"/>
    <mergeCell ref="E6:E8"/>
    <mergeCell ref="R6:R11"/>
    <mergeCell ref="E9:E11"/>
    <mergeCell ref="E4:E5"/>
    <mergeCell ref="F4:F5"/>
    <mergeCell ref="G4:G5"/>
    <mergeCell ref="A12:A17"/>
    <mergeCell ref="B12:B17"/>
    <mergeCell ref="D12:D17"/>
    <mergeCell ref="E12:E14"/>
    <mergeCell ref="A18:A23"/>
    <mergeCell ref="B18:B23"/>
    <mergeCell ref="D18:D23"/>
    <mergeCell ref="E18:E20"/>
    <mergeCell ref="E21:E23"/>
    <mergeCell ref="R12:R17"/>
    <mergeCell ref="E15:E17"/>
    <mergeCell ref="R18:R23"/>
    <mergeCell ref="R24:R29"/>
    <mergeCell ref="E27:E29"/>
    <mergeCell ref="R30:R35"/>
    <mergeCell ref="E33:E35"/>
    <mergeCell ref="A24:A29"/>
    <mergeCell ref="B24:B29"/>
    <mergeCell ref="A30:A35"/>
    <mergeCell ref="B30:B35"/>
    <mergeCell ref="D30:D35"/>
    <mergeCell ref="E30:E32"/>
    <mergeCell ref="D24:D29"/>
    <mergeCell ref="E24:E26"/>
    <mergeCell ref="R36:R41"/>
    <mergeCell ref="E39:E41"/>
    <mergeCell ref="A216:A221"/>
    <mergeCell ref="B216:B221"/>
    <mergeCell ref="C216:C221"/>
    <mergeCell ref="D216:D221"/>
    <mergeCell ref="E216:E218"/>
    <mergeCell ref="R216:R221"/>
    <mergeCell ref="E219:E221"/>
    <mergeCell ref="A36:A41"/>
    <mergeCell ref="B222:B227"/>
    <mergeCell ref="C222:C227"/>
    <mergeCell ref="D222:D227"/>
    <mergeCell ref="E36:E38"/>
    <mergeCell ref="B36:B41"/>
    <mergeCell ref="C36:C41"/>
    <mergeCell ref="D36:D41"/>
    <mergeCell ref="E42:E44"/>
    <mergeCell ref="E54:E56"/>
    <mergeCell ref="E66:E68"/>
    <mergeCell ref="R222:R227"/>
    <mergeCell ref="E225:E227"/>
    <mergeCell ref="A228:A233"/>
    <mergeCell ref="B228:B233"/>
    <mergeCell ref="C228:C233"/>
    <mergeCell ref="D228:D233"/>
    <mergeCell ref="E228:E230"/>
    <mergeCell ref="R228:R233"/>
    <mergeCell ref="E231:E233"/>
    <mergeCell ref="A222:A227"/>
    <mergeCell ref="A234:A239"/>
    <mergeCell ref="B234:B239"/>
    <mergeCell ref="C234:C239"/>
    <mergeCell ref="D234:D239"/>
    <mergeCell ref="E234:E236"/>
    <mergeCell ref="R234:R239"/>
    <mergeCell ref="E237:E239"/>
    <mergeCell ref="A240:A245"/>
    <mergeCell ref="B240:B245"/>
    <mergeCell ref="C240:C245"/>
    <mergeCell ref="D240:D245"/>
    <mergeCell ref="E240:E242"/>
    <mergeCell ref="R240:R245"/>
    <mergeCell ref="E243:E245"/>
  </mergeCells>
  <printOptions/>
  <pageMargins left="0.22" right="0.17" top="0.48" bottom="0.43" header="0.2362204724409449" footer="0.1574803149606299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6"/>
  <sheetViews>
    <sheetView workbookViewId="0" topLeftCell="A1">
      <selection activeCell="F9" sqref="F9"/>
    </sheetView>
  </sheetViews>
  <sheetFormatPr defaultColWidth="9.140625" defaultRowHeight="12.75"/>
  <cols>
    <col min="1" max="1" width="3.421875" style="687" customWidth="1"/>
    <col min="2" max="2" width="29.421875" style="688" customWidth="1"/>
    <col min="3" max="3" width="25.28125" style="685" customWidth="1"/>
    <col min="4" max="4" width="20.7109375" style="688" hidden="1" customWidth="1"/>
    <col min="5" max="5" width="12.421875" style="688" customWidth="1"/>
    <col min="6" max="6" width="10.421875" style="689" customWidth="1"/>
    <col min="7" max="7" width="9.7109375" style="219" customWidth="1"/>
    <col min="8" max="8" width="11.28125" style="690" hidden="1" customWidth="1"/>
    <col min="9" max="9" width="11.421875" style="217" customWidth="1"/>
    <col min="10" max="10" width="17.8515625" style="685" hidden="1" customWidth="1"/>
    <col min="11" max="11" width="11.00390625" style="685" hidden="1" customWidth="1"/>
    <col min="12" max="12" width="11.7109375" style="685" hidden="1" customWidth="1"/>
    <col min="13" max="13" width="10.421875" style="685" hidden="1" customWidth="1"/>
    <col min="14" max="14" width="10.28125" style="685" hidden="1" customWidth="1"/>
    <col min="15" max="35" width="9.140625" style="685" hidden="1" customWidth="1"/>
    <col min="36" max="36" width="11.28125" style="686" customWidth="1"/>
    <col min="37" max="37" width="11.8515625" style="217" customWidth="1"/>
    <col min="38" max="38" width="10.8515625" style="217" customWidth="1"/>
    <col min="39" max="39" width="10.00390625" style="217" customWidth="1"/>
    <col min="40" max="40" width="9.57421875" style="217" bestFit="1" customWidth="1"/>
    <col min="41" max="41" width="8.7109375" style="217" bestFit="1" customWidth="1"/>
    <col min="42" max="16384" width="8.00390625" style="217" customWidth="1"/>
  </cols>
  <sheetData>
    <row r="1" spans="1:39" ht="11.25">
      <c r="A1" s="215"/>
      <c r="B1" s="216"/>
      <c r="C1" s="217"/>
      <c r="D1" s="218"/>
      <c r="E1" s="218"/>
      <c r="F1" s="219"/>
      <c r="H1" s="220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21"/>
      <c r="AM1" s="222" t="s">
        <v>250</v>
      </c>
    </row>
    <row r="2" spans="1:37" s="224" customFormat="1" ht="36" customHeight="1">
      <c r="A2" s="875" t="s">
        <v>251</v>
      </c>
      <c r="B2" s="875"/>
      <c r="C2" s="875"/>
      <c r="D2" s="875"/>
      <c r="E2" s="875"/>
      <c r="F2" s="875"/>
      <c r="G2" s="875"/>
      <c r="H2" s="875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876"/>
      <c r="Y2" s="876"/>
      <c r="Z2" s="876"/>
      <c r="AA2" s="876"/>
      <c r="AB2" s="876"/>
      <c r="AC2" s="876"/>
      <c r="AD2" s="876"/>
      <c r="AE2" s="876"/>
      <c r="AF2" s="876"/>
      <c r="AG2" s="876"/>
      <c r="AH2" s="876"/>
      <c r="AI2" s="876"/>
      <c r="AJ2" s="876"/>
      <c r="AK2" s="876"/>
    </row>
    <row r="3" spans="1:36" s="224" customFormat="1" ht="4.5" customHeight="1" thickBot="1">
      <c r="A3" s="223"/>
      <c r="B3" s="225"/>
      <c r="C3" s="225"/>
      <c r="D3" s="225"/>
      <c r="E3" s="225"/>
      <c r="F3" s="225"/>
      <c r="G3" s="226"/>
      <c r="H3" s="227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9"/>
    </row>
    <row r="4" spans="1:39" s="218" customFormat="1" ht="16.5" customHeight="1" thickBot="1" thickTop="1">
      <c r="A4" s="887" t="s">
        <v>252</v>
      </c>
      <c r="B4" s="886" t="s">
        <v>253</v>
      </c>
      <c r="C4" s="883" t="s">
        <v>254</v>
      </c>
      <c r="D4" s="883" t="s">
        <v>255</v>
      </c>
      <c r="E4" s="883" t="s">
        <v>256</v>
      </c>
      <c r="F4" s="881" t="s">
        <v>257</v>
      </c>
      <c r="G4" s="879" t="s">
        <v>258</v>
      </c>
      <c r="H4" s="230" t="s">
        <v>259</v>
      </c>
      <c r="I4" s="871" t="s">
        <v>259</v>
      </c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871"/>
      <c r="AB4" s="871"/>
      <c r="AC4" s="871"/>
      <c r="AD4" s="871"/>
      <c r="AE4" s="871"/>
      <c r="AF4" s="871"/>
      <c r="AG4" s="871"/>
      <c r="AH4" s="871"/>
      <c r="AI4" s="871"/>
      <c r="AJ4" s="871"/>
      <c r="AK4" s="872"/>
      <c r="AL4" s="873" t="s">
        <v>260</v>
      </c>
      <c r="AM4" s="874"/>
    </row>
    <row r="5" spans="1:39" s="218" customFormat="1" ht="19.5" customHeight="1">
      <c r="A5" s="888"/>
      <c r="B5" s="885"/>
      <c r="C5" s="929"/>
      <c r="D5" s="885"/>
      <c r="E5" s="884"/>
      <c r="F5" s="882"/>
      <c r="G5" s="880"/>
      <c r="H5" s="231">
        <v>2010</v>
      </c>
      <c r="I5" s="232">
        <v>2011</v>
      </c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4">
        <v>2012</v>
      </c>
      <c r="AK5" s="235">
        <v>2013</v>
      </c>
      <c r="AL5" s="236">
        <v>2014</v>
      </c>
      <c r="AM5" s="237">
        <v>2015</v>
      </c>
    </row>
    <row r="6" spans="1:39" s="218" customFormat="1" ht="12" thickBot="1">
      <c r="A6" s="238">
        <v>1</v>
      </c>
      <c r="B6" s="239">
        <v>2</v>
      </c>
      <c r="C6" s="239">
        <v>3</v>
      </c>
      <c r="D6" s="239">
        <v>4</v>
      </c>
      <c r="E6" s="239">
        <v>4</v>
      </c>
      <c r="F6" s="240">
        <v>5</v>
      </c>
      <c r="G6" s="241">
        <v>6</v>
      </c>
      <c r="H6" s="242">
        <v>8</v>
      </c>
      <c r="I6" s="243">
        <v>7</v>
      </c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5">
        <v>8</v>
      </c>
      <c r="AK6" s="243">
        <v>9</v>
      </c>
      <c r="AL6" s="246">
        <v>10</v>
      </c>
      <c r="AM6" s="247">
        <v>11</v>
      </c>
    </row>
    <row r="7" spans="1:39" s="218" customFormat="1" ht="21.75" customHeight="1" thickBot="1">
      <c r="A7" s="877" t="s">
        <v>261</v>
      </c>
      <c r="B7" s="878"/>
      <c r="C7" s="878"/>
      <c r="D7" s="248"/>
      <c r="E7" s="248"/>
      <c r="F7" s="249"/>
      <c r="G7" s="250"/>
      <c r="H7" s="251"/>
      <c r="I7" s="252">
        <f>SUM(I8,I21,I29,I33,I61,I62,I65,I119,I100,)</f>
        <v>293251352</v>
      </c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4">
        <f>SUM(AJ8,AJ29,AJ33,AJ61,AJ62,AJ65,AJ100,)</f>
        <v>277363602</v>
      </c>
      <c r="AK7" s="255">
        <f>SUM(AK8,AK29,AK33,)</f>
        <v>125719842</v>
      </c>
      <c r="AL7" s="254">
        <f>SUM(AL8,AL33,)</f>
        <v>74514072</v>
      </c>
      <c r="AM7" s="256">
        <f>SUM(AM8)</f>
        <v>19500000</v>
      </c>
    </row>
    <row r="8" spans="1:39" s="218" customFormat="1" ht="20.25" customHeight="1" thickBot="1">
      <c r="A8" s="930" t="s">
        <v>262</v>
      </c>
      <c r="B8" s="931"/>
      <c r="C8" s="932"/>
      <c r="D8" s="932"/>
      <c r="E8" s="932"/>
      <c r="F8" s="257"/>
      <c r="G8" s="258"/>
      <c r="H8" s="259"/>
      <c r="I8" s="259">
        <f aca="true" t="shared" si="0" ref="I8:AJ8">I9+I13+I53+I66+I69+I72+I93+I122+I127+I86+I89</f>
        <v>182501688</v>
      </c>
      <c r="J8" s="259">
        <f t="shared" si="0"/>
        <v>0</v>
      </c>
      <c r="K8" s="259">
        <f t="shared" si="0"/>
        <v>0</v>
      </c>
      <c r="L8" s="259">
        <f t="shared" si="0"/>
        <v>0</v>
      </c>
      <c r="M8" s="259">
        <f t="shared" si="0"/>
        <v>0</v>
      </c>
      <c r="N8" s="259">
        <f t="shared" si="0"/>
        <v>0</v>
      </c>
      <c r="O8" s="259">
        <f t="shared" si="0"/>
        <v>0</v>
      </c>
      <c r="P8" s="259">
        <f t="shared" si="0"/>
        <v>0</v>
      </c>
      <c r="Q8" s="259">
        <f t="shared" si="0"/>
        <v>0</v>
      </c>
      <c r="R8" s="259">
        <f t="shared" si="0"/>
        <v>0</v>
      </c>
      <c r="S8" s="259">
        <f t="shared" si="0"/>
        <v>0</v>
      </c>
      <c r="T8" s="259">
        <f t="shared" si="0"/>
        <v>0</v>
      </c>
      <c r="U8" s="259">
        <f t="shared" si="0"/>
        <v>0</v>
      </c>
      <c r="V8" s="259">
        <f t="shared" si="0"/>
        <v>0</v>
      </c>
      <c r="W8" s="259">
        <f t="shared" si="0"/>
        <v>0</v>
      </c>
      <c r="X8" s="259">
        <f t="shared" si="0"/>
        <v>0</v>
      </c>
      <c r="Y8" s="259">
        <f t="shared" si="0"/>
        <v>0</v>
      </c>
      <c r="Z8" s="259">
        <f t="shared" si="0"/>
        <v>0</v>
      </c>
      <c r="AA8" s="259">
        <f t="shared" si="0"/>
        <v>0</v>
      </c>
      <c r="AB8" s="259">
        <f t="shared" si="0"/>
        <v>0</v>
      </c>
      <c r="AC8" s="259">
        <f t="shared" si="0"/>
        <v>0</v>
      </c>
      <c r="AD8" s="259">
        <f t="shared" si="0"/>
        <v>0</v>
      </c>
      <c r="AE8" s="259">
        <f t="shared" si="0"/>
        <v>0</v>
      </c>
      <c r="AF8" s="259">
        <f t="shared" si="0"/>
        <v>0</v>
      </c>
      <c r="AG8" s="259">
        <f t="shared" si="0"/>
        <v>0</v>
      </c>
      <c r="AH8" s="259">
        <f t="shared" si="0"/>
        <v>0</v>
      </c>
      <c r="AI8" s="259">
        <f t="shared" si="0"/>
        <v>0</v>
      </c>
      <c r="AJ8" s="260">
        <f t="shared" si="0"/>
        <v>142217571</v>
      </c>
      <c r="AK8" s="261">
        <f>SUM(AK9,AK13,AK53,AK66,AK69,AK72,AK86,AK89,AK93,AK122,AK127)</f>
        <v>110073677</v>
      </c>
      <c r="AL8" s="262">
        <f>SUM(AL9,AL13,AL53,AL66,AL69,AL72,AL86,AL89,AL93,AL122,AL127,)</f>
        <v>74455118</v>
      </c>
      <c r="AM8" s="263">
        <f>SUM(AM9,AM13,AM53,AM66,AM69,AM72,AM86,AM89,AM93,AM122,AM127,)</f>
        <v>19500000</v>
      </c>
    </row>
    <row r="9" spans="1:39" s="218" customFormat="1" ht="17.25" customHeight="1" thickBot="1">
      <c r="A9" s="264" t="s">
        <v>263</v>
      </c>
      <c r="B9" s="265" t="s">
        <v>264</v>
      </c>
      <c r="C9" s="266"/>
      <c r="D9" s="267"/>
      <c r="E9" s="267"/>
      <c r="F9" s="268"/>
      <c r="G9" s="269"/>
      <c r="H9" s="270">
        <f aca="true" t="shared" si="1" ref="H9:AK9">SUM(H10)</f>
        <v>0</v>
      </c>
      <c r="I9" s="271">
        <f t="shared" si="1"/>
        <v>5000000</v>
      </c>
      <c r="J9" s="271">
        <f t="shared" si="1"/>
        <v>0</v>
      </c>
      <c r="K9" s="271">
        <f t="shared" si="1"/>
        <v>0</v>
      </c>
      <c r="L9" s="271">
        <f t="shared" si="1"/>
        <v>0</v>
      </c>
      <c r="M9" s="271">
        <f t="shared" si="1"/>
        <v>0</v>
      </c>
      <c r="N9" s="271">
        <f t="shared" si="1"/>
        <v>0</v>
      </c>
      <c r="O9" s="271">
        <f t="shared" si="1"/>
        <v>0</v>
      </c>
      <c r="P9" s="271">
        <f t="shared" si="1"/>
        <v>0</v>
      </c>
      <c r="Q9" s="271">
        <f t="shared" si="1"/>
        <v>0</v>
      </c>
      <c r="R9" s="271">
        <f t="shared" si="1"/>
        <v>0</v>
      </c>
      <c r="S9" s="271">
        <f t="shared" si="1"/>
        <v>0</v>
      </c>
      <c r="T9" s="271">
        <f t="shared" si="1"/>
        <v>0</v>
      </c>
      <c r="U9" s="271">
        <f t="shared" si="1"/>
        <v>0</v>
      </c>
      <c r="V9" s="271">
        <f t="shared" si="1"/>
        <v>0</v>
      </c>
      <c r="W9" s="271">
        <f t="shared" si="1"/>
        <v>0</v>
      </c>
      <c r="X9" s="271">
        <f t="shared" si="1"/>
        <v>0</v>
      </c>
      <c r="Y9" s="271">
        <f t="shared" si="1"/>
        <v>0</v>
      </c>
      <c r="Z9" s="271">
        <f t="shared" si="1"/>
        <v>0</v>
      </c>
      <c r="AA9" s="271">
        <f t="shared" si="1"/>
        <v>0</v>
      </c>
      <c r="AB9" s="271">
        <f t="shared" si="1"/>
        <v>0</v>
      </c>
      <c r="AC9" s="271">
        <f t="shared" si="1"/>
        <v>0</v>
      </c>
      <c r="AD9" s="271">
        <f t="shared" si="1"/>
        <v>0</v>
      </c>
      <c r="AE9" s="271">
        <f t="shared" si="1"/>
        <v>0</v>
      </c>
      <c r="AF9" s="271">
        <f t="shared" si="1"/>
        <v>0</v>
      </c>
      <c r="AG9" s="271">
        <f t="shared" si="1"/>
        <v>0</v>
      </c>
      <c r="AH9" s="271">
        <f t="shared" si="1"/>
        <v>0</v>
      </c>
      <c r="AI9" s="271">
        <f t="shared" si="1"/>
        <v>0</v>
      </c>
      <c r="AJ9" s="272">
        <f t="shared" si="1"/>
        <v>3000000</v>
      </c>
      <c r="AK9" s="273">
        <f t="shared" si="1"/>
        <v>0</v>
      </c>
      <c r="AL9" s="274">
        <v>0</v>
      </c>
      <c r="AM9" s="275">
        <f>SUM(AM10)</f>
        <v>0</v>
      </c>
    </row>
    <row r="10" spans="1:39" s="218" customFormat="1" ht="18.75" customHeight="1" thickBot="1">
      <c r="A10" s="276"/>
      <c r="B10" s="277" t="s">
        <v>265</v>
      </c>
      <c r="C10" s="278"/>
      <c r="D10" s="279"/>
      <c r="E10" s="280"/>
      <c r="F10" s="280"/>
      <c r="G10" s="281"/>
      <c r="H10" s="282">
        <f>SUM(H11)</f>
        <v>0</v>
      </c>
      <c r="I10" s="281">
        <f>SUM(I11)</f>
        <v>5000000</v>
      </c>
      <c r="J10" s="28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84">
        <f>SUM(AJ11)</f>
        <v>3000000</v>
      </c>
      <c r="AK10" s="285">
        <f>SUM(AK11)</f>
        <v>0</v>
      </c>
      <c r="AL10" s="286">
        <v>0</v>
      </c>
      <c r="AM10" s="287">
        <f>SUM(AM11)</f>
        <v>0</v>
      </c>
    </row>
    <row r="11" spans="1:39" s="295" customFormat="1" ht="11.25">
      <c r="A11" s="933"/>
      <c r="B11" s="928" t="s">
        <v>416</v>
      </c>
      <c r="C11" s="928" t="s">
        <v>266</v>
      </c>
      <c r="D11" s="897" t="s">
        <v>267</v>
      </c>
      <c r="E11" s="972" t="s">
        <v>268</v>
      </c>
      <c r="F11" s="944">
        <f>SUM(I11:AK12)</f>
        <v>8000000</v>
      </c>
      <c r="G11" s="944"/>
      <c r="H11" s="963"/>
      <c r="I11" s="970">
        <v>5000000</v>
      </c>
      <c r="J11" s="968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966">
        <v>3000000</v>
      </c>
      <c r="AK11" s="961"/>
      <c r="AL11" s="961"/>
      <c r="AM11" s="937"/>
    </row>
    <row r="12" spans="1:39" s="295" customFormat="1" ht="33.75" customHeight="1" thickBot="1">
      <c r="A12" s="934"/>
      <c r="B12" s="925"/>
      <c r="C12" s="925"/>
      <c r="D12" s="908"/>
      <c r="E12" s="973"/>
      <c r="F12" s="949"/>
      <c r="G12" s="945"/>
      <c r="H12" s="964"/>
      <c r="I12" s="971"/>
      <c r="J12" s="969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967"/>
      <c r="AK12" s="962"/>
      <c r="AL12" s="965"/>
      <c r="AM12" s="938"/>
    </row>
    <row r="13" spans="1:39" s="218" customFormat="1" ht="18" customHeight="1" thickBot="1">
      <c r="A13" s="264" t="s">
        <v>269</v>
      </c>
      <c r="B13" s="265" t="s">
        <v>270</v>
      </c>
      <c r="C13" s="266"/>
      <c r="D13" s="267"/>
      <c r="E13" s="267"/>
      <c r="F13" s="268"/>
      <c r="G13" s="269"/>
      <c r="H13" s="270"/>
      <c r="I13" s="271">
        <f>SUM(I14,I18,I41,I49)</f>
        <v>109466302</v>
      </c>
      <c r="J13" s="303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271">
        <f>SUM(AJ14,AJ18,AJ41,AJ49)</f>
        <v>75615133</v>
      </c>
      <c r="AK13" s="271">
        <f>SUM(AK14,AK18,AK41,AK49)</f>
        <v>60792527</v>
      </c>
      <c r="AL13" s="274">
        <f>SUM(AL14,AL18,AL41,AL49)</f>
        <v>50010404</v>
      </c>
      <c r="AM13" s="275">
        <f>SUM(AM14,AM18,AM41,AM49)</f>
        <v>19500000</v>
      </c>
    </row>
    <row r="14" spans="1:39" s="218" customFormat="1" ht="18.75" customHeight="1" thickBot="1">
      <c r="A14" s="276"/>
      <c r="B14" s="277" t="s">
        <v>271</v>
      </c>
      <c r="C14" s="278"/>
      <c r="D14" s="279"/>
      <c r="E14" s="279"/>
      <c r="F14" s="280"/>
      <c r="G14" s="281"/>
      <c r="H14" s="282"/>
      <c r="I14" s="281">
        <f>SUM(I15:I16)</f>
        <v>1705000</v>
      </c>
      <c r="J14" s="28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84">
        <f>SUM(AJ15:AJ16,AJ17)</f>
        <v>0</v>
      </c>
      <c r="AK14" s="305">
        <f>SUM(AK15:AK17)</f>
        <v>10000000</v>
      </c>
      <c r="AL14" s="284">
        <f>SUM(AL15:AL17)</f>
        <v>20000000</v>
      </c>
      <c r="AM14" s="306">
        <f>SUM(AM15:AM17)</f>
        <v>10000000</v>
      </c>
    </row>
    <row r="15" spans="1:39" s="218" customFormat="1" ht="36.75" customHeight="1">
      <c r="A15" s="307"/>
      <c r="B15" s="308" t="s">
        <v>272</v>
      </c>
      <c r="C15" s="309" t="s">
        <v>273</v>
      </c>
      <c r="D15" s="946" t="s">
        <v>274</v>
      </c>
      <c r="E15" s="310"/>
      <c r="F15" s="311"/>
      <c r="G15" s="311"/>
      <c r="H15" s="291">
        <v>1850000</v>
      </c>
      <c r="I15" s="312">
        <v>945000</v>
      </c>
      <c r="J15" s="283"/>
      <c r="K15" s="283"/>
      <c r="L15" s="283"/>
      <c r="M15" s="283"/>
      <c r="N15" s="283"/>
      <c r="O15" s="28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313"/>
      <c r="AK15" s="314"/>
      <c r="AL15" s="315"/>
      <c r="AM15" s="316"/>
    </row>
    <row r="16" spans="1:39" s="218" customFormat="1" ht="22.5" customHeight="1">
      <c r="A16" s="317"/>
      <c r="B16" s="309" t="s">
        <v>275</v>
      </c>
      <c r="C16" s="309" t="s">
        <v>273</v>
      </c>
      <c r="D16" s="947"/>
      <c r="E16" s="318"/>
      <c r="F16" s="311"/>
      <c r="G16" s="311"/>
      <c r="H16" s="311"/>
      <c r="I16" s="312">
        <v>760000</v>
      </c>
      <c r="J16" s="319"/>
      <c r="K16" s="319"/>
      <c r="L16" s="319"/>
      <c r="M16" s="319"/>
      <c r="N16" s="319"/>
      <c r="O16" s="319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02"/>
      <c r="AK16" s="321"/>
      <c r="AL16" s="322"/>
      <c r="AM16" s="323"/>
    </row>
    <row r="17" spans="1:39" s="218" customFormat="1" ht="24" customHeight="1" thickBot="1">
      <c r="A17" s="317"/>
      <c r="B17" s="324" t="s">
        <v>275</v>
      </c>
      <c r="C17" s="324" t="s">
        <v>276</v>
      </c>
      <c r="D17" s="948"/>
      <c r="E17" s="325" t="s">
        <v>277</v>
      </c>
      <c r="F17" s="290">
        <v>40000000</v>
      </c>
      <c r="G17" s="290"/>
      <c r="H17" s="290"/>
      <c r="I17" s="326"/>
      <c r="J17" s="327"/>
      <c r="K17" s="327"/>
      <c r="L17" s="327"/>
      <c r="M17" s="327"/>
      <c r="N17" s="327"/>
      <c r="O17" s="327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9"/>
      <c r="AK17" s="329">
        <v>10000000</v>
      </c>
      <c r="AL17" s="330">
        <v>20000000</v>
      </c>
      <c r="AM17" s="331">
        <v>10000000</v>
      </c>
    </row>
    <row r="18" spans="1:39" s="218" customFormat="1" ht="17.25" customHeight="1" thickBot="1">
      <c r="A18" s="332"/>
      <c r="B18" s="906" t="s">
        <v>278</v>
      </c>
      <c r="C18" s="935"/>
      <c r="D18" s="935"/>
      <c r="E18" s="935"/>
      <c r="F18" s="935"/>
      <c r="G18" s="936"/>
      <c r="H18" s="282"/>
      <c r="I18" s="284">
        <f>SUM(I20,I22,I23,I24,I25,I26,I28,I30,I32,I34:I40)</f>
        <v>62891302</v>
      </c>
      <c r="J18" s="283"/>
      <c r="K18" s="283"/>
      <c r="L18" s="283"/>
      <c r="M18" s="283"/>
      <c r="N18" s="283"/>
      <c r="O18" s="28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84">
        <f>SUM(AJ25,AJ28,AJ30,AJ32,AJ34:AJ40,AJ19:AJ24)</f>
        <v>23606133</v>
      </c>
      <c r="AK18" s="305">
        <f>SUM(AK37:AK40,AK32,AK28,AK19:AK26,AK30,AK36)</f>
        <v>19812527</v>
      </c>
      <c r="AL18" s="284">
        <f>SUM(AL19:AL27,AL32,AL34:AL40)</f>
        <v>30010404</v>
      </c>
      <c r="AM18" s="306">
        <f>SUM(AM19:AM40)</f>
        <v>9500000</v>
      </c>
    </row>
    <row r="19" spans="1:39" s="218" customFormat="1" ht="19.5" customHeight="1">
      <c r="A19" s="333"/>
      <c r="B19" s="953" t="s">
        <v>279</v>
      </c>
      <c r="C19" s="956" t="s">
        <v>280</v>
      </c>
      <c r="D19" s="917" t="s">
        <v>274</v>
      </c>
      <c r="E19" s="335" t="s">
        <v>281</v>
      </c>
      <c r="F19" s="311">
        <f>SUM(F20:F22)</f>
        <v>59138052</v>
      </c>
      <c r="G19" s="336">
        <f>SUM(G20:G22)</f>
        <v>53067007</v>
      </c>
      <c r="H19" s="337">
        <v>46062717</v>
      </c>
      <c r="I19" s="312">
        <f>SUM(I20:I22)</f>
        <v>6071045</v>
      </c>
      <c r="J19" s="283"/>
      <c r="K19" s="338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313"/>
      <c r="AK19" s="339"/>
      <c r="AL19" s="313"/>
      <c r="AM19" s="323"/>
    </row>
    <row r="20" spans="1:39" s="218" customFormat="1" ht="20.25" customHeight="1">
      <c r="A20" s="333"/>
      <c r="B20" s="954"/>
      <c r="C20" s="957"/>
      <c r="D20" s="917"/>
      <c r="E20" s="340" t="s">
        <v>282</v>
      </c>
      <c r="F20" s="341">
        <v>29039587</v>
      </c>
      <c r="G20" s="342">
        <v>26048146</v>
      </c>
      <c r="H20" s="343">
        <v>22802486</v>
      </c>
      <c r="I20" s="344">
        <v>2991441</v>
      </c>
      <c r="J20" s="283"/>
      <c r="K20" s="338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313"/>
      <c r="AK20" s="339"/>
      <c r="AL20" s="313"/>
      <c r="AM20" s="345"/>
    </row>
    <row r="21" spans="1:41" s="218" customFormat="1" ht="21.75" customHeight="1">
      <c r="A21" s="333"/>
      <c r="B21" s="954"/>
      <c r="C21" s="957"/>
      <c r="D21" s="917"/>
      <c r="E21" s="340" t="s">
        <v>283</v>
      </c>
      <c r="F21" s="346">
        <v>29039584</v>
      </c>
      <c r="G21" s="347">
        <v>26048143</v>
      </c>
      <c r="H21" s="348">
        <v>22802485</v>
      </c>
      <c r="I21" s="349">
        <v>2991441</v>
      </c>
      <c r="J21" s="283"/>
      <c r="K21" s="338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313"/>
      <c r="AK21" s="339"/>
      <c r="AL21" s="313"/>
      <c r="AM21" s="345"/>
      <c r="AO21" s="350"/>
    </row>
    <row r="22" spans="1:41" s="218" customFormat="1" ht="28.5" customHeight="1">
      <c r="A22" s="333"/>
      <c r="B22" s="955"/>
      <c r="C22" s="958"/>
      <c r="D22" s="917"/>
      <c r="E22" s="340" t="s">
        <v>284</v>
      </c>
      <c r="F22" s="341">
        <v>1058881</v>
      </c>
      <c r="G22" s="342">
        <v>970718</v>
      </c>
      <c r="H22" s="343">
        <v>457746</v>
      </c>
      <c r="I22" s="344">
        <v>88163</v>
      </c>
      <c r="J22" s="283"/>
      <c r="K22" s="338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313"/>
      <c r="AK22" s="339"/>
      <c r="AL22" s="313"/>
      <c r="AM22" s="345"/>
      <c r="AO22" s="350"/>
    </row>
    <row r="23" spans="1:41" s="218" customFormat="1" ht="57.75" customHeight="1">
      <c r="A23" s="352"/>
      <c r="B23" s="353" t="s">
        <v>285</v>
      </c>
      <c r="C23" s="354" t="s">
        <v>280</v>
      </c>
      <c r="D23" s="917"/>
      <c r="E23" s="325" t="s">
        <v>281</v>
      </c>
      <c r="F23" s="290">
        <f>SUM(G23,I23)</f>
        <v>5359163</v>
      </c>
      <c r="G23" s="355">
        <v>4359163</v>
      </c>
      <c r="H23" s="291">
        <v>4359163</v>
      </c>
      <c r="I23" s="312">
        <v>1000000</v>
      </c>
      <c r="J23" s="283"/>
      <c r="K23" s="338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313"/>
      <c r="AK23" s="339"/>
      <c r="AL23" s="313"/>
      <c r="AM23" s="345"/>
      <c r="AO23" s="356"/>
    </row>
    <row r="24" spans="1:41" s="218" customFormat="1" ht="27.75" customHeight="1">
      <c r="A24" s="357"/>
      <c r="B24" s="358" t="s">
        <v>286</v>
      </c>
      <c r="C24" s="309" t="s">
        <v>280</v>
      </c>
      <c r="D24" s="917"/>
      <c r="E24" s="359" t="s">
        <v>287</v>
      </c>
      <c r="F24" s="290">
        <v>2500000</v>
      </c>
      <c r="G24" s="290">
        <v>200000</v>
      </c>
      <c r="H24" s="291">
        <v>2000000</v>
      </c>
      <c r="I24" s="339">
        <v>2300000</v>
      </c>
      <c r="J24" s="360"/>
      <c r="K24" s="361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13"/>
      <c r="AK24" s="339"/>
      <c r="AL24" s="313"/>
      <c r="AM24" s="345"/>
      <c r="AO24" s="362"/>
    </row>
    <row r="25" spans="1:41" s="218" customFormat="1" ht="32.25" customHeight="1">
      <c r="A25" s="357"/>
      <c r="B25" s="363" t="s">
        <v>288</v>
      </c>
      <c r="C25" s="309" t="s">
        <v>289</v>
      </c>
      <c r="D25" s="917"/>
      <c r="E25" s="335" t="s">
        <v>290</v>
      </c>
      <c r="F25" s="311">
        <v>7000000</v>
      </c>
      <c r="G25" s="311">
        <v>500000</v>
      </c>
      <c r="H25" s="337">
        <v>995795</v>
      </c>
      <c r="I25" s="312">
        <v>2500000</v>
      </c>
      <c r="J25" s="36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64">
        <v>2000000</v>
      </c>
      <c r="AK25" s="339">
        <v>2000000</v>
      </c>
      <c r="AL25" s="313"/>
      <c r="AM25" s="345"/>
      <c r="AO25" s="362"/>
    </row>
    <row r="26" spans="1:41" s="218" customFormat="1" ht="39.75" customHeight="1">
      <c r="A26" s="365"/>
      <c r="B26" s="308" t="s">
        <v>291</v>
      </c>
      <c r="C26" s="366" t="s">
        <v>273</v>
      </c>
      <c r="D26" s="917"/>
      <c r="E26" s="367"/>
      <c r="F26" s="368"/>
      <c r="G26" s="299"/>
      <c r="H26" s="300">
        <f>200000+500000</f>
        <v>700000</v>
      </c>
      <c r="I26" s="301">
        <v>450000</v>
      </c>
      <c r="J26" s="36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13"/>
      <c r="AK26" s="339"/>
      <c r="AL26" s="313"/>
      <c r="AM26" s="345"/>
      <c r="AO26" s="362"/>
    </row>
    <row r="27" spans="1:41" s="218" customFormat="1" ht="18">
      <c r="A27" s="357"/>
      <c r="B27" s="910" t="s">
        <v>292</v>
      </c>
      <c r="C27" s="901" t="s">
        <v>289</v>
      </c>
      <c r="D27" s="917"/>
      <c r="E27" s="370" t="s">
        <v>290</v>
      </c>
      <c r="F27" s="311">
        <f>SUM(F28:F30)</f>
        <v>22734183</v>
      </c>
      <c r="G27" s="311">
        <f>SUM(G30)</f>
        <v>433999</v>
      </c>
      <c r="H27" s="337"/>
      <c r="I27" s="301">
        <f>SUM(I28:I30)</f>
        <v>11874237</v>
      </c>
      <c r="J27" s="36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13">
        <f>SUM(AJ28:AJ30)</f>
        <v>5511255</v>
      </c>
      <c r="AK27" s="339">
        <f>SUM(AK28:AK30)</f>
        <v>4914692</v>
      </c>
      <c r="AL27" s="313"/>
      <c r="AM27" s="345"/>
      <c r="AN27" s="219"/>
      <c r="AO27" s="350"/>
    </row>
    <row r="28" spans="1:41" s="218" customFormat="1" ht="19.5">
      <c r="A28" s="365"/>
      <c r="B28" s="911"/>
      <c r="C28" s="902"/>
      <c r="D28" s="917"/>
      <c r="E28" s="340" t="s">
        <v>282</v>
      </c>
      <c r="F28" s="371">
        <v>6517618</v>
      </c>
      <c r="G28" s="371"/>
      <c r="H28" s="372"/>
      <c r="I28" s="373">
        <v>3501338</v>
      </c>
      <c r="J28" s="374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6">
        <v>1608953</v>
      </c>
      <c r="AK28" s="344">
        <v>1407327</v>
      </c>
      <c r="AL28" s="313"/>
      <c r="AM28" s="345"/>
      <c r="AN28" s="219"/>
      <c r="AO28" s="350"/>
    </row>
    <row r="29" spans="1:41" s="218" customFormat="1" ht="19.5">
      <c r="A29" s="365"/>
      <c r="B29" s="911"/>
      <c r="C29" s="902"/>
      <c r="D29" s="917"/>
      <c r="E29" s="340" t="s">
        <v>283</v>
      </c>
      <c r="F29" s="377">
        <v>15207776</v>
      </c>
      <c r="G29" s="377"/>
      <c r="H29" s="378"/>
      <c r="I29" s="379">
        <v>8169789</v>
      </c>
      <c r="J29" s="380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2">
        <v>3754222</v>
      </c>
      <c r="AK29" s="349">
        <v>3283765</v>
      </c>
      <c r="AL29" s="313"/>
      <c r="AM29" s="345"/>
      <c r="AN29" s="219"/>
      <c r="AO29" s="350"/>
    </row>
    <row r="30" spans="1:41" s="218" customFormat="1" ht="19.5">
      <c r="A30" s="365"/>
      <c r="B30" s="912"/>
      <c r="C30" s="903"/>
      <c r="D30" s="917"/>
      <c r="E30" s="340" t="s">
        <v>293</v>
      </c>
      <c r="F30" s="371">
        <v>1008789</v>
      </c>
      <c r="G30" s="371">
        <v>433999</v>
      </c>
      <c r="H30" s="372"/>
      <c r="I30" s="373">
        <v>203110</v>
      </c>
      <c r="J30" s="374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6">
        <v>148080</v>
      </c>
      <c r="AK30" s="344">
        <v>223600</v>
      </c>
      <c r="AL30" s="313"/>
      <c r="AM30" s="345"/>
      <c r="AN30" s="219"/>
      <c r="AO30" s="350"/>
    </row>
    <row r="31" spans="1:41" s="218" customFormat="1" ht="18">
      <c r="A31" s="365"/>
      <c r="B31" s="901" t="s">
        <v>417</v>
      </c>
      <c r="C31" s="959" t="s">
        <v>294</v>
      </c>
      <c r="D31" s="917"/>
      <c r="E31" s="383" t="s">
        <v>295</v>
      </c>
      <c r="F31" s="311">
        <v>71789358</v>
      </c>
      <c r="G31" s="311">
        <v>2467000</v>
      </c>
      <c r="H31" s="337"/>
      <c r="I31" s="301">
        <v>25715000</v>
      </c>
      <c r="J31" s="384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385">
        <v>28994000</v>
      </c>
      <c r="AK31" s="312">
        <v>14544000</v>
      </c>
      <c r="AL31" s="313">
        <v>69358</v>
      </c>
      <c r="AM31" s="345"/>
      <c r="AN31" s="219"/>
      <c r="AO31" s="361"/>
    </row>
    <row r="32" spans="1:41" s="218" customFormat="1" ht="19.5">
      <c r="A32" s="365"/>
      <c r="B32" s="913"/>
      <c r="C32" s="960"/>
      <c r="D32" s="917"/>
      <c r="E32" s="340" t="s">
        <v>282</v>
      </c>
      <c r="F32" s="371">
        <v>10768404</v>
      </c>
      <c r="G32" s="371">
        <v>370050</v>
      </c>
      <c r="H32" s="371"/>
      <c r="I32" s="373">
        <v>3857250</v>
      </c>
      <c r="J32" s="374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6">
        <v>4349100</v>
      </c>
      <c r="AK32" s="344">
        <v>2181600</v>
      </c>
      <c r="AL32" s="376">
        <v>10404</v>
      </c>
      <c r="AM32" s="387"/>
      <c r="AN32" s="219"/>
      <c r="AO32" s="350"/>
    </row>
    <row r="33" spans="1:41" s="218" customFormat="1" ht="19.5">
      <c r="A33" s="365"/>
      <c r="B33" s="914"/>
      <c r="C33" s="960"/>
      <c r="D33" s="917"/>
      <c r="E33" s="340" t="s">
        <v>283</v>
      </c>
      <c r="F33" s="377">
        <v>61020954</v>
      </c>
      <c r="G33" s="377">
        <v>2096950</v>
      </c>
      <c r="H33" s="377"/>
      <c r="I33" s="379">
        <v>21857750</v>
      </c>
      <c r="J33" s="380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2">
        <v>24644900</v>
      </c>
      <c r="AK33" s="349">
        <v>12362400</v>
      </c>
      <c r="AL33" s="382">
        <v>58954</v>
      </c>
      <c r="AM33" s="389"/>
      <c r="AN33" s="219"/>
      <c r="AO33" s="350"/>
    </row>
    <row r="34" spans="1:39" s="218" customFormat="1" ht="33.75" customHeight="1">
      <c r="A34" s="390"/>
      <c r="B34" s="308" t="s">
        <v>296</v>
      </c>
      <c r="C34" s="366" t="s">
        <v>273</v>
      </c>
      <c r="D34" s="926" t="s">
        <v>274</v>
      </c>
      <c r="E34" s="391"/>
      <c r="F34" s="299"/>
      <c r="G34" s="299"/>
      <c r="H34" s="300"/>
      <c r="I34" s="299">
        <v>650000</v>
      </c>
      <c r="J34" s="392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13"/>
      <c r="AK34" s="339"/>
      <c r="AL34" s="313"/>
      <c r="AM34" s="345"/>
    </row>
    <row r="35" spans="1:39" s="218" customFormat="1" ht="22.5" customHeight="1">
      <c r="A35" s="352"/>
      <c r="B35" s="358" t="s">
        <v>297</v>
      </c>
      <c r="C35" s="309" t="s">
        <v>280</v>
      </c>
      <c r="D35" s="917"/>
      <c r="E35" s="391" t="s">
        <v>298</v>
      </c>
      <c r="F35" s="299">
        <v>37000000</v>
      </c>
      <c r="G35" s="299">
        <v>4000000</v>
      </c>
      <c r="H35" s="394">
        <v>5000000</v>
      </c>
      <c r="I35" s="321">
        <v>30000000</v>
      </c>
      <c r="J35" s="28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322">
        <v>3000000</v>
      </c>
      <c r="AK35" s="339"/>
      <c r="AL35" s="313"/>
      <c r="AM35" s="345"/>
    </row>
    <row r="36" spans="1:41" s="218" customFormat="1" ht="22.5" customHeight="1">
      <c r="A36" s="352"/>
      <c r="B36" s="358" t="s">
        <v>299</v>
      </c>
      <c r="C36" s="309" t="s">
        <v>280</v>
      </c>
      <c r="D36" s="917"/>
      <c r="E36" s="391" t="s">
        <v>277</v>
      </c>
      <c r="F36" s="299">
        <v>40000000</v>
      </c>
      <c r="G36" s="299"/>
      <c r="H36" s="395"/>
      <c r="I36" s="321"/>
      <c r="J36" s="36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22"/>
      <c r="AK36" s="339">
        <v>500000</v>
      </c>
      <c r="AL36" s="313">
        <v>30000000</v>
      </c>
      <c r="AM36" s="345">
        <v>9500000</v>
      </c>
      <c r="AO36" s="396"/>
    </row>
    <row r="37" spans="1:40" s="218" customFormat="1" ht="24.75" customHeight="1">
      <c r="A37" s="352"/>
      <c r="B37" s="388" t="s">
        <v>300</v>
      </c>
      <c r="C37" s="309" t="s">
        <v>280</v>
      </c>
      <c r="D37" s="917"/>
      <c r="E37" s="318" t="s">
        <v>301</v>
      </c>
      <c r="F37" s="311">
        <v>32000000</v>
      </c>
      <c r="G37" s="311"/>
      <c r="H37" s="337"/>
      <c r="I37" s="312">
        <v>12000000</v>
      </c>
      <c r="J37" s="28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313">
        <v>10000000</v>
      </c>
      <c r="AK37" s="339">
        <v>10000000</v>
      </c>
      <c r="AL37" s="313"/>
      <c r="AM37" s="345"/>
      <c r="AN37" s="219"/>
    </row>
    <row r="38" spans="1:39" s="218" customFormat="1" ht="34.5" customHeight="1">
      <c r="A38" s="357"/>
      <c r="B38" s="358" t="s">
        <v>302</v>
      </c>
      <c r="C38" s="366" t="s">
        <v>273</v>
      </c>
      <c r="D38" s="917"/>
      <c r="E38" s="391"/>
      <c r="F38" s="339"/>
      <c r="G38" s="339"/>
      <c r="H38" s="339">
        <v>1160000</v>
      </c>
      <c r="I38" s="312">
        <v>500000</v>
      </c>
      <c r="J38" s="36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13"/>
      <c r="AK38" s="339"/>
      <c r="AL38" s="313"/>
      <c r="AM38" s="345"/>
    </row>
    <row r="39" spans="1:39" s="218" customFormat="1" ht="18" customHeight="1">
      <c r="A39" s="397"/>
      <c r="B39" s="386" t="s">
        <v>303</v>
      </c>
      <c r="C39" s="366" t="s">
        <v>273</v>
      </c>
      <c r="D39" s="927"/>
      <c r="E39" s="399"/>
      <c r="F39" s="400"/>
      <c r="G39" s="395"/>
      <c r="H39" s="394"/>
      <c r="I39" s="327">
        <v>850000</v>
      </c>
      <c r="J39" s="350"/>
      <c r="K39" s="350"/>
      <c r="L39" s="350"/>
      <c r="M39" s="401"/>
      <c r="N39" s="402"/>
      <c r="O39" s="403"/>
      <c r="P39" s="404"/>
      <c r="Q39" s="360"/>
      <c r="R39" s="405"/>
      <c r="S39" s="405"/>
      <c r="T39" s="405"/>
      <c r="U39" s="406"/>
      <c r="V39" s="407"/>
      <c r="W39" s="408"/>
      <c r="X39" s="409"/>
      <c r="Y39" s="409"/>
      <c r="Z39" s="409"/>
      <c r="AA39" s="409"/>
      <c r="AB39" s="409"/>
      <c r="AC39" s="409"/>
      <c r="AD39" s="409"/>
      <c r="AE39" s="409"/>
      <c r="AF39" s="409"/>
      <c r="AG39" s="409"/>
      <c r="AH39" s="410"/>
      <c r="AI39" s="350"/>
      <c r="AJ39" s="313">
        <v>500000</v>
      </c>
      <c r="AK39" s="339">
        <v>500000</v>
      </c>
      <c r="AL39" s="313"/>
      <c r="AM39" s="345"/>
    </row>
    <row r="40" spans="1:39" s="218" customFormat="1" ht="20.25" customHeight="1" thickBot="1">
      <c r="A40" s="411"/>
      <c r="B40" s="366" t="s">
        <v>304</v>
      </c>
      <c r="C40" s="366" t="s">
        <v>273</v>
      </c>
      <c r="D40" s="412" t="s">
        <v>305</v>
      </c>
      <c r="E40" s="413"/>
      <c r="F40" s="328"/>
      <c r="G40" s="290"/>
      <c r="H40" s="291"/>
      <c r="I40" s="329">
        <v>2000000</v>
      </c>
      <c r="J40" s="350"/>
      <c r="K40" s="350"/>
      <c r="L40" s="350"/>
      <c r="M40" s="401"/>
      <c r="N40" s="402"/>
      <c r="O40" s="403"/>
      <c r="P40" s="404"/>
      <c r="Q40" s="360"/>
      <c r="R40" s="405"/>
      <c r="S40" s="405"/>
      <c r="T40" s="405"/>
      <c r="U40" s="406"/>
      <c r="V40" s="407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5"/>
      <c r="AI40" s="350"/>
      <c r="AJ40" s="416">
        <v>2000000</v>
      </c>
      <c r="AK40" s="329">
        <v>3000000</v>
      </c>
      <c r="AL40" s="416"/>
      <c r="AM40" s="417"/>
    </row>
    <row r="41" spans="1:39" s="218" customFormat="1" ht="16.5" customHeight="1" thickBot="1">
      <c r="A41" s="307"/>
      <c r="B41" s="909" t="s">
        <v>306</v>
      </c>
      <c r="C41" s="909"/>
      <c r="D41" s="419"/>
      <c r="E41" s="279"/>
      <c r="F41" s="280"/>
      <c r="G41" s="280"/>
      <c r="H41" s="282">
        <f>SUM(H43:H47,H48)</f>
        <v>0</v>
      </c>
      <c r="I41" s="305">
        <f>SUM(I42:I48)</f>
        <v>17900000</v>
      </c>
      <c r="J41" s="233"/>
      <c r="K41" s="233"/>
      <c r="L41" s="233"/>
      <c r="M41" s="233"/>
      <c r="N41" s="233"/>
      <c r="O41" s="233"/>
      <c r="P41" s="233"/>
      <c r="Q41" s="233"/>
      <c r="R41" s="233"/>
      <c r="S41" s="350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84">
        <f>SUM(AJ42:AJ48)</f>
        <v>23200000</v>
      </c>
      <c r="AK41" s="305">
        <f>SUM(AK42:AK48)</f>
        <v>22500000</v>
      </c>
      <c r="AL41" s="284">
        <f>SUM(AL43:AL48)</f>
        <v>0</v>
      </c>
      <c r="AM41" s="306">
        <f>SUM(AM42:AM48)</f>
        <v>0</v>
      </c>
    </row>
    <row r="42" spans="1:39" s="218" customFormat="1" ht="34.5" customHeight="1">
      <c r="A42" s="307"/>
      <c r="B42" s="420" t="s">
        <v>307</v>
      </c>
      <c r="C42" s="388" t="s">
        <v>308</v>
      </c>
      <c r="D42" s="421" t="s">
        <v>309</v>
      </c>
      <c r="E42" s="232" t="s">
        <v>310</v>
      </c>
      <c r="F42" s="422">
        <v>3200000</v>
      </c>
      <c r="G42" s="422"/>
      <c r="H42" s="423"/>
      <c r="I42" s="424"/>
      <c r="J42" s="425"/>
      <c r="K42" s="425"/>
      <c r="L42" s="425"/>
      <c r="M42" s="425"/>
      <c r="N42" s="425"/>
      <c r="O42" s="425"/>
      <c r="P42" s="425"/>
      <c r="Q42" s="425"/>
      <c r="R42" s="425"/>
      <c r="S42" s="293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  <c r="AF42" s="425"/>
      <c r="AG42" s="425"/>
      <c r="AH42" s="425"/>
      <c r="AI42" s="425"/>
      <c r="AJ42" s="426">
        <v>1200000</v>
      </c>
      <c r="AK42" s="424">
        <v>2000000</v>
      </c>
      <c r="AL42" s="427"/>
      <c r="AM42" s="428"/>
    </row>
    <row r="43" spans="1:39" s="218" customFormat="1" ht="23.25" customHeight="1">
      <c r="A43" s="307"/>
      <c r="B43" s="309" t="s">
        <v>311</v>
      </c>
      <c r="C43" s="388" t="s">
        <v>308</v>
      </c>
      <c r="D43" s="917" t="s">
        <v>274</v>
      </c>
      <c r="E43" s="318" t="s">
        <v>301</v>
      </c>
      <c r="F43" s="429">
        <v>38000000</v>
      </c>
      <c r="G43" s="429"/>
      <c r="H43" s="430"/>
      <c r="I43" s="321">
        <v>10000000</v>
      </c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322">
        <v>13000000</v>
      </c>
      <c r="AK43" s="321">
        <v>15000000</v>
      </c>
      <c r="AL43" s="322"/>
      <c r="AM43" s="323"/>
    </row>
    <row r="44" spans="1:39" s="218" customFormat="1" ht="34.5" customHeight="1">
      <c r="A44" s="307"/>
      <c r="B44" s="363" t="s">
        <v>288</v>
      </c>
      <c r="C44" s="309" t="s">
        <v>289</v>
      </c>
      <c r="D44" s="917"/>
      <c r="E44" s="318" t="s">
        <v>301</v>
      </c>
      <c r="F44" s="431">
        <v>8000000</v>
      </c>
      <c r="G44" s="431"/>
      <c r="H44" s="430"/>
      <c r="I44" s="321">
        <v>2500000</v>
      </c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322">
        <v>3000000</v>
      </c>
      <c r="AK44" s="321">
        <v>2500000</v>
      </c>
      <c r="AL44" s="322"/>
      <c r="AM44" s="323"/>
    </row>
    <row r="45" spans="1:39" s="218" customFormat="1" ht="26.25" customHeight="1">
      <c r="A45" s="307"/>
      <c r="B45" s="369" t="s">
        <v>312</v>
      </c>
      <c r="C45" s="386" t="s">
        <v>308</v>
      </c>
      <c r="D45" s="917"/>
      <c r="E45" s="391" t="s">
        <v>268</v>
      </c>
      <c r="F45" s="290">
        <v>4000000</v>
      </c>
      <c r="G45" s="290"/>
      <c r="H45" s="291"/>
      <c r="I45" s="339">
        <v>1000000</v>
      </c>
      <c r="J45" s="432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313">
        <v>3000000</v>
      </c>
      <c r="AK45" s="339"/>
      <c r="AL45" s="313"/>
      <c r="AM45" s="345"/>
    </row>
    <row r="46" spans="1:39" s="218" customFormat="1" ht="22.5" customHeight="1">
      <c r="A46" s="307"/>
      <c r="B46" s="366" t="s">
        <v>313</v>
      </c>
      <c r="C46" s="366" t="s">
        <v>314</v>
      </c>
      <c r="D46" s="917"/>
      <c r="E46" s="318" t="s">
        <v>301</v>
      </c>
      <c r="F46" s="433"/>
      <c r="G46" s="433"/>
      <c r="H46" s="434"/>
      <c r="I46" s="339">
        <v>1000000</v>
      </c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313">
        <v>1000000</v>
      </c>
      <c r="AK46" s="339">
        <v>1000000</v>
      </c>
      <c r="AL46" s="313"/>
      <c r="AM46" s="345"/>
    </row>
    <row r="47" spans="1:39" s="218" customFormat="1" ht="22.5" customHeight="1">
      <c r="A47" s="435"/>
      <c r="B47" s="366" t="s">
        <v>303</v>
      </c>
      <c r="C47" s="366" t="s">
        <v>315</v>
      </c>
      <c r="D47" s="927"/>
      <c r="E47" s="328"/>
      <c r="F47" s="433"/>
      <c r="G47" s="433"/>
      <c r="H47" s="434"/>
      <c r="I47" s="327">
        <v>1400000</v>
      </c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313">
        <v>1000000</v>
      </c>
      <c r="AK47" s="339">
        <v>1000000</v>
      </c>
      <c r="AL47" s="313"/>
      <c r="AM47" s="345"/>
    </row>
    <row r="48" spans="1:39" s="218" customFormat="1" ht="20.25" thickBot="1">
      <c r="A48" s="694"/>
      <c r="B48" s="324" t="s">
        <v>304</v>
      </c>
      <c r="C48" s="324" t="s">
        <v>273</v>
      </c>
      <c r="D48" s="695" t="s">
        <v>305</v>
      </c>
      <c r="E48" s="547"/>
      <c r="F48" s="548"/>
      <c r="G48" s="548"/>
      <c r="H48" s="549"/>
      <c r="I48" s="329">
        <v>2000000</v>
      </c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416">
        <v>1000000</v>
      </c>
      <c r="AK48" s="329">
        <v>1000000</v>
      </c>
      <c r="AL48" s="416"/>
      <c r="AM48" s="696"/>
    </row>
    <row r="49" spans="1:39" s="218" customFormat="1" ht="14.25" customHeight="1" thickBot="1">
      <c r="A49" s="459"/>
      <c r="B49" s="916" t="s">
        <v>316</v>
      </c>
      <c r="C49" s="916"/>
      <c r="D49" s="691"/>
      <c r="E49" s="455"/>
      <c r="F49" s="456"/>
      <c r="G49" s="456"/>
      <c r="H49" s="554">
        <f>H50</f>
        <v>1000000</v>
      </c>
      <c r="I49" s="692">
        <f>SUM(I50:I52)</f>
        <v>26970000</v>
      </c>
      <c r="J49" s="693">
        <f>J51</f>
        <v>0</v>
      </c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286">
        <f>SUM(AJ50:AJ52)</f>
        <v>28809000</v>
      </c>
      <c r="AK49" s="285">
        <f>SUM(AK50:AK52)</f>
        <v>8480000</v>
      </c>
      <c r="AL49" s="286">
        <f>SUM(AL50:AL52)</f>
        <v>0</v>
      </c>
      <c r="AM49" s="287">
        <f>SUM(AM50:AM52)</f>
        <v>0</v>
      </c>
    </row>
    <row r="50" spans="1:39" s="218" customFormat="1" ht="31.5" customHeight="1">
      <c r="A50" s="332"/>
      <c r="B50" s="388" t="s">
        <v>317</v>
      </c>
      <c r="C50" s="438" t="s">
        <v>318</v>
      </c>
      <c r="D50" s="897" t="s">
        <v>267</v>
      </c>
      <c r="E50" s="232" t="s">
        <v>287</v>
      </c>
      <c r="F50" s="431">
        <v>2000000</v>
      </c>
      <c r="G50" s="431">
        <v>1000000</v>
      </c>
      <c r="H50" s="430">
        <v>1000000</v>
      </c>
      <c r="I50" s="431">
        <v>1000000</v>
      </c>
      <c r="J50" s="439"/>
      <c r="K50" s="440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0"/>
      <c r="AG50" s="440"/>
      <c r="AH50" s="440"/>
      <c r="AI50" s="440"/>
      <c r="AJ50" s="441"/>
      <c r="AK50" s="442"/>
      <c r="AL50" s="427"/>
      <c r="AM50" s="428"/>
    </row>
    <row r="51" spans="1:39" s="218" customFormat="1" ht="28.5" customHeight="1">
      <c r="A51" s="443"/>
      <c r="B51" s="388" t="s">
        <v>319</v>
      </c>
      <c r="C51" s="388" t="s">
        <v>320</v>
      </c>
      <c r="D51" s="898"/>
      <c r="E51" s="391" t="s">
        <v>301</v>
      </c>
      <c r="F51" s="339">
        <f>SUM(I51,AJ51,AK51)</f>
        <v>53259000</v>
      </c>
      <c r="G51" s="339"/>
      <c r="H51" s="339"/>
      <c r="I51" s="339">
        <v>23970000</v>
      </c>
      <c r="J51" s="444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E51" s="440"/>
      <c r="AF51" s="440"/>
      <c r="AG51" s="440"/>
      <c r="AH51" s="440"/>
      <c r="AI51" s="440"/>
      <c r="AJ51" s="322">
        <v>20809000</v>
      </c>
      <c r="AK51" s="321">
        <v>8480000</v>
      </c>
      <c r="AL51" s="322"/>
      <c r="AM51" s="323"/>
    </row>
    <row r="52" spans="1:39" s="218" customFormat="1" ht="29.25" customHeight="1" thickBot="1">
      <c r="A52" s="443"/>
      <c r="B52" s="445" t="s">
        <v>321</v>
      </c>
      <c r="C52" s="388" t="s">
        <v>320</v>
      </c>
      <c r="D52" s="446" t="s">
        <v>274</v>
      </c>
      <c r="E52" s="447" t="s">
        <v>268</v>
      </c>
      <c r="F52" s="448">
        <v>10000000</v>
      </c>
      <c r="G52" s="448"/>
      <c r="H52" s="448"/>
      <c r="I52" s="448">
        <v>2000000</v>
      </c>
      <c r="J52" s="36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449">
        <v>8000000</v>
      </c>
      <c r="AK52" s="448"/>
      <c r="AL52" s="449"/>
      <c r="AM52" s="450"/>
    </row>
    <row r="53" spans="1:39" s="218" customFormat="1" ht="18" customHeight="1" thickBot="1">
      <c r="A53" s="264" t="s">
        <v>322</v>
      </c>
      <c r="B53" s="889" t="s">
        <v>323</v>
      </c>
      <c r="C53" s="915"/>
      <c r="D53" s="267"/>
      <c r="E53" s="267"/>
      <c r="F53" s="268"/>
      <c r="G53" s="269"/>
      <c r="H53" s="270">
        <f>SUM(H54,H57)</f>
        <v>1150000</v>
      </c>
      <c r="I53" s="271">
        <f>SUM(I57,I54)</f>
        <v>19144158</v>
      </c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274">
        <f>SUM(AJ54,AJ57)</f>
        <v>32087828</v>
      </c>
      <c r="AK53" s="273">
        <f>SUM(AK54,AK57)</f>
        <v>8200000</v>
      </c>
      <c r="AL53" s="274">
        <f>SUM(AL54,AL57)</f>
        <v>0</v>
      </c>
      <c r="AM53" s="275">
        <f>SUM(AM54,AM57,)</f>
        <v>0</v>
      </c>
    </row>
    <row r="54" spans="1:39" s="218" customFormat="1" ht="15" customHeight="1" thickBot="1">
      <c r="A54" s="451"/>
      <c r="B54" s="906" t="s">
        <v>324</v>
      </c>
      <c r="C54" s="907"/>
      <c r="D54" s="279"/>
      <c r="E54" s="279"/>
      <c r="F54" s="280"/>
      <c r="G54" s="281"/>
      <c r="H54" s="436">
        <f>SUM(H55:H56)</f>
        <v>1150000</v>
      </c>
      <c r="I54" s="305">
        <f>SUM(I55:I56)</f>
        <v>10280000</v>
      </c>
      <c r="J54" s="338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84">
        <f>SUM(AJ55:AJ56)</f>
        <v>7200000</v>
      </c>
      <c r="AK54" s="305">
        <f>SUM(AK55:AK56)</f>
        <v>8200000</v>
      </c>
      <c r="AL54" s="284">
        <v>0</v>
      </c>
      <c r="AM54" s="306">
        <f>SUM(AM55:AM56)</f>
        <v>0</v>
      </c>
    </row>
    <row r="55" spans="1:40" s="218" customFormat="1" ht="22.5" customHeight="1">
      <c r="A55" s="307"/>
      <c r="B55" s="388" t="s">
        <v>325</v>
      </c>
      <c r="C55" s="388" t="s">
        <v>326</v>
      </c>
      <c r="D55" s="897" t="s">
        <v>274</v>
      </c>
      <c r="E55" s="391" t="s">
        <v>301</v>
      </c>
      <c r="F55" s="452">
        <v>25000000</v>
      </c>
      <c r="G55" s="452"/>
      <c r="H55" s="453">
        <v>1000000</v>
      </c>
      <c r="I55" s="321">
        <v>10000000</v>
      </c>
      <c r="J55" s="36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15">
        <v>7000000</v>
      </c>
      <c r="AK55" s="314">
        <v>8000000</v>
      </c>
      <c r="AL55" s="315"/>
      <c r="AM55" s="316"/>
      <c r="AN55" s="219"/>
    </row>
    <row r="56" spans="1:39" s="218" customFormat="1" ht="12" thickBot="1">
      <c r="A56" s="454"/>
      <c r="B56" s="324" t="s">
        <v>303</v>
      </c>
      <c r="C56" s="324" t="s">
        <v>315</v>
      </c>
      <c r="D56" s="908"/>
      <c r="E56" s="455"/>
      <c r="F56" s="456"/>
      <c r="G56" s="456"/>
      <c r="H56" s="457">
        <v>150000</v>
      </c>
      <c r="I56" s="448">
        <v>280000</v>
      </c>
      <c r="J56" s="458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416">
        <v>200000</v>
      </c>
      <c r="AK56" s="448">
        <v>200000</v>
      </c>
      <c r="AL56" s="449"/>
      <c r="AM56" s="450"/>
    </row>
    <row r="57" spans="1:39" s="218" customFormat="1" ht="15.75" customHeight="1" thickBot="1">
      <c r="A57" s="459"/>
      <c r="B57" s="906" t="s">
        <v>327</v>
      </c>
      <c r="C57" s="907"/>
      <c r="D57" s="279"/>
      <c r="E57" s="279"/>
      <c r="F57" s="280"/>
      <c r="G57" s="281"/>
      <c r="H57" s="436">
        <f>SUM(F57)</f>
        <v>0</v>
      </c>
      <c r="I57" s="437">
        <f>SUM(I58,I60,I64)</f>
        <v>8864158</v>
      </c>
      <c r="J57" s="460"/>
      <c r="K57" s="460"/>
      <c r="L57" s="460"/>
      <c r="M57" s="460"/>
      <c r="N57" s="460"/>
      <c r="O57" s="460"/>
      <c r="P57" s="460"/>
      <c r="Q57" s="460"/>
      <c r="R57" s="460"/>
      <c r="S57" s="460"/>
      <c r="T57" s="460"/>
      <c r="U57" s="460"/>
      <c r="V57" s="460"/>
      <c r="W57" s="460"/>
      <c r="X57" s="460"/>
      <c r="Y57" s="460"/>
      <c r="Z57" s="460"/>
      <c r="AA57" s="460"/>
      <c r="AB57" s="460"/>
      <c r="AC57" s="460"/>
      <c r="AD57" s="460"/>
      <c r="AE57" s="460"/>
      <c r="AF57" s="460"/>
      <c r="AG57" s="460"/>
      <c r="AH57" s="460"/>
      <c r="AI57" s="460"/>
      <c r="AJ57" s="461">
        <f>SUM(AJ58,AJ60,AJ64)</f>
        <v>24887828</v>
      </c>
      <c r="AK57" s="305">
        <v>0</v>
      </c>
      <c r="AL57" s="284">
        <v>0</v>
      </c>
      <c r="AM57" s="306">
        <f>SUM(AM58:AM65)</f>
        <v>0</v>
      </c>
    </row>
    <row r="58" spans="1:39" s="218" customFormat="1" ht="33.75" customHeight="1">
      <c r="A58" s="307"/>
      <c r="B58" s="388" t="s">
        <v>328</v>
      </c>
      <c r="C58" s="438" t="s">
        <v>329</v>
      </c>
      <c r="D58" s="893" t="s">
        <v>330</v>
      </c>
      <c r="E58" s="318" t="s">
        <v>331</v>
      </c>
      <c r="F58" s="452">
        <v>4929783</v>
      </c>
      <c r="G58" s="299">
        <v>1929783</v>
      </c>
      <c r="H58" s="300">
        <v>1952267</v>
      </c>
      <c r="I58" s="299">
        <v>2000000</v>
      </c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15">
        <v>1000000</v>
      </c>
      <c r="AK58" s="314"/>
      <c r="AL58" s="315"/>
      <c r="AM58" s="316"/>
    </row>
    <row r="59" spans="1:39" s="218" customFormat="1" ht="21" customHeight="1">
      <c r="A59" s="435"/>
      <c r="B59" s="901" t="s">
        <v>332</v>
      </c>
      <c r="C59" s="901" t="s">
        <v>329</v>
      </c>
      <c r="D59" s="894"/>
      <c r="E59" s="318" t="s">
        <v>331</v>
      </c>
      <c r="F59" s="299">
        <f>SUM(G59,I59,AJ59)</f>
        <v>101000000</v>
      </c>
      <c r="G59" s="339">
        <v>12656756</v>
      </c>
      <c r="H59" s="300">
        <v>10179265</v>
      </c>
      <c r="I59" s="299">
        <v>33278911</v>
      </c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350"/>
      <c r="AH59" s="350"/>
      <c r="AI59" s="350"/>
      <c r="AJ59" s="322">
        <v>55064333</v>
      </c>
      <c r="AK59" s="321"/>
      <c r="AL59" s="322"/>
      <c r="AM59" s="323"/>
    </row>
    <row r="60" spans="1:39" s="218" customFormat="1" ht="18.75" customHeight="1">
      <c r="A60" s="435"/>
      <c r="B60" s="902"/>
      <c r="C60" s="902"/>
      <c r="D60" s="894"/>
      <c r="E60" s="462" t="s">
        <v>282</v>
      </c>
      <c r="F60" s="463">
        <v>15150000</v>
      </c>
      <c r="G60" s="464"/>
      <c r="H60" s="465"/>
      <c r="I60" s="463">
        <v>0</v>
      </c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  <c r="AI60" s="375"/>
      <c r="AJ60" s="466">
        <v>15150000</v>
      </c>
      <c r="AK60" s="321"/>
      <c r="AL60" s="322"/>
      <c r="AM60" s="323"/>
    </row>
    <row r="61" spans="1:39" s="218" customFormat="1" ht="18.75" customHeight="1">
      <c r="A61" s="435"/>
      <c r="B61" s="902"/>
      <c r="C61" s="902"/>
      <c r="D61" s="894"/>
      <c r="E61" s="467" t="s">
        <v>333</v>
      </c>
      <c r="F61" s="468">
        <f>SUM(G61,I61,AJ61)</f>
        <v>12877500</v>
      </c>
      <c r="G61" s="349">
        <v>1898513</v>
      </c>
      <c r="H61" s="469">
        <v>1526890</v>
      </c>
      <c r="I61" s="468">
        <v>4991837</v>
      </c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381"/>
      <c r="AE61" s="381"/>
      <c r="AF61" s="381"/>
      <c r="AG61" s="381"/>
      <c r="AH61" s="381"/>
      <c r="AI61" s="381"/>
      <c r="AJ61" s="470">
        <v>5987150</v>
      </c>
      <c r="AK61" s="321"/>
      <c r="AL61" s="322"/>
      <c r="AM61" s="323"/>
    </row>
    <row r="62" spans="1:39" s="218" customFormat="1" ht="21" customHeight="1">
      <c r="A62" s="471"/>
      <c r="B62" s="903"/>
      <c r="C62" s="903"/>
      <c r="D62" s="895"/>
      <c r="E62" s="472" t="s">
        <v>283</v>
      </c>
      <c r="F62" s="468">
        <v>72972500</v>
      </c>
      <c r="G62" s="349">
        <v>10758243</v>
      </c>
      <c r="H62" s="469">
        <v>8652376</v>
      </c>
      <c r="I62" s="349">
        <v>28287074</v>
      </c>
      <c r="J62" s="473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2">
        <v>33927183</v>
      </c>
      <c r="AK62" s="339"/>
      <c r="AL62" s="313"/>
      <c r="AM62" s="345"/>
    </row>
    <row r="63" spans="1:40" s="218" customFormat="1" ht="21" customHeight="1">
      <c r="A63" s="471"/>
      <c r="B63" s="901" t="s">
        <v>334</v>
      </c>
      <c r="C63" s="904" t="s">
        <v>329</v>
      </c>
      <c r="D63" s="895"/>
      <c r="E63" s="474" t="s">
        <v>331</v>
      </c>
      <c r="F63" s="299">
        <f>SUM(G63,I63,AJ63)</f>
        <v>67348548</v>
      </c>
      <c r="G63" s="301">
        <v>4940605</v>
      </c>
      <c r="H63" s="300">
        <v>3757352</v>
      </c>
      <c r="I63" s="312">
        <v>27456631</v>
      </c>
      <c r="J63" s="405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385">
        <v>34951312</v>
      </c>
      <c r="AK63" s="312"/>
      <c r="AL63" s="385"/>
      <c r="AM63" s="475"/>
      <c r="AN63" s="295"/>
    </row>
    <row r="64" spans="1:39" s="218" customFormat="1" ht="21" customHeight="1">
      <c r="A64" s="471"/>
      <c r="B64" s="902"/>
      <c r="C64" s="902"/>
      <c r="D64" s="895"/>
      <c r="E64" s="476" t="s">
        <v>282</v>
      </c>
      <c r="F64" s="463">
        <v>16837137</v>
      </c>
      <c r="G64" s="373">
        <v>1235151</v>
      </c>
      <c r="H64" s="465">
        <v>939338</v>
      </c>
      <c r="I64" s="344">
        <v>6864158</v>
      </c>
      <c r="J64" s="477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6">
        <v>8737828</v>
      </c>
      <c r="AK64" s="339"/>
      <c r="AL64" s="313"/>
      <c r="AM64" s="345"/>
    </row>
    <row r="65" spans="1:39" s="218" customFormat="1" ht="21" customHeight="1" thickBot="1">
      <c r="A65" s="471"/>
      <c r="B65" s="902"/>
      <c r="C65" s="905"/>
      <c r="D65" s="896"/>
      <c r="E65" s="472" t="s">
        <v>283</v>
      </c>
      <c r="F65" s="468">
        <f>SUM(G65,I65,AJ65)</f>
        <v>50511411</v>
      </c>
      <c r="G65" s="379">
        <v>3705454</v>
      </c>
      <c r="H65" s="469">
        <v>2818014</v>
      </c>
      <c r="I65" s="349">
        <v>20592473</v>
      </c>
      <c r="J65" s="473"/>
      <c r="K65" s="381"/>
      <c r="L65" s="381"/>
      <c r="M65" s="381"/>
      <c r="N65" s="381"/>
      <c r="O65" s="381"/>
      <c r="P65" s="381"/>
      <c r="Q65" s="381"/>
      <c r="R65" s="381"/>
      <c r="S65" s="381"/>
      <c r="T65" s="381"/>
      <c r="U65" s="381"/>
      <c r="V65" s="381"/>
      <c r="W65" s="381"/>
      <c r="X65" s="381"/>
      <c r="Y65" s="381"/>
      <c r="Z65" s="381"/>
      <c r="AA65" s="381"/>
      <c r="AB65" s="381"/>
      <c r="AC65" s="381"/>
      <c r="AD65" s="381"/>
      <c r="AE65" s="381"/>
      <c r="AF65" s="381"/>
      <c r="AG65" s="381"/>
      <c r="AH65" s="381"/>
      <c r="AI65" s="381"/>
      <c r="AJ65" s="382">
        <v>26213484</v>
      </c>
      <c r="AK65" s="339"/>
      <c r="AL65" s="313"/>
      <c r="AM65" s="417"/>
    </row>
    <row r="66" spans="1:39" s="489" customFormat="1" ht="15.75" customHeight="1" thickBot="1">
      <c r="A66" s="478" t="s">
        <v>335</v>
      </c>
      <c r="B66" s="479" t="s">
        <v>336</v>
      </c>
      <c r="C66" s="480"/>
      <c r="D66" s="481"/>
      <c r="E66" s="481"/>
      <c r="F66" s="481"/>
      <c r="G66" s="481"/>
      <c r="H66" s="482">
        <f>SUM(H67)</f>
        <v>2250000</v>
      </c>
      <c r="I66" s="483">
        <f>SUM(I67)</f>
        <v>1800000</v>
      </c>
      <c r="J66" s="484"/>
      <c r="K66" s="485"/>
      <c r="L66" s="485"/>
      <c r="M66" s="485"/>
      <c r="N66" s="485"/>
      <c r="O66" s="485"/>
      <c r="P66" s="485"/>
      <c r="Q66" s="485"/>
      <c r="R66" s="485"/>
      <c r="S66" s="485"/>
      <c r="T66" s="485"/>
      <c r="U66" s="485"/>
      <c r="V66" s="485"/>
      <c r="W66" s="485"/>
      <c r="X66" s="485"/>
      <c r="Y66" s="485"/>
      <c r="Z66" s="485"/>
      <c r="AA66" s="485"/>
      <c r="AB66" s="485"/>
      <c r="AC66" s="485"/>
      <c r="AD66" s="485"/>
      <c r="AE66" s="485"/>
      <c r="AF66" s="485"/>
      <c r="AG66" s="485"/>
      <c r="AH66" s="485"/>
      <c r="AI66" s="485"/>
      <c r="AJ66" s="486">
        <f>SUM(AJ67)</f>
        <v>0</v>
      </c>
      <c r="AK66" s="487">
        <f>SUM(AK67)</f>
        <v>0</v>
      </c>
      <c r="AL66" s="486">
        <f>SUM(AL67)</f>
        <v>0</v>
      </c>
      <c r="AM66" s="488">
        <f>SUM(AM67)</f>
        <v>0</v>
      </c>
    </row>
    <row r="67" spans="1:39" s="489" customFormat="1" ht="14.25" customHeight="1" thickBot="1">
      <c r="A67" s="490"/>
      <c r="B67" s="899" t="s">
        <v>337</v>
      </c>
      <c r="C67" s="900"/>
      <c r="D67" s="491"/>
      <c r="E67" s="491"/>
      <c r="F67" s="492"/>
      <c r="G67" s="493"/>
      <c r="H67" s="494">
        <f>SUM(H68:H68)</f>
        <v>2250000</v>
      </c>
      <c r="I67" s="495">
        <f>SUM(I68:I68)</f>
        <v>1800000</v>
      </c>
      <c r="J67" s="496"/>
      <c r="K67" s="497"/>
      <c r="L67" s="497"/>
      <c r="M67" s="497"/>
      <c r="N67" s="497"/>
      <c r="O67" s="497"/>
      <c r="P67" s="497"/>
      <c r="Q67" s="497"/>
      <c r="R67" s="497"/>
      <c r="S67" s="497"/>
      <c r="T67" s="497"/>
      <c r="U67" s="497"/>
      <c r="V67" s="497"/>
      <c r="W67" s="497"/>
      <c r="X67" s="497"/>
      <c r="Y67" s="497"/>
      <c r="Z67" s="497"/>
      <c r="AA67" s="497"/>
      <c r="AB67" s="497"/>
      <c r="AC67" s="497"/>
      <c r="AD67" s="497"/>
      <c r="AE67" s="497"/>
      <c r="AF67" s="497"/>
      <c r="AG67" s="497"/>
      <c r="AH67" s="497"/>
      <c r="AI67" s="497"/>
      <c r="AJ67" s="498">
        <f>SUM(AJ68:AJ68)</f>
        <v>0</v>
      </c>
      <c r="AK67" s="499">
        <f>SUM(AK68:AK68)</f>
        <v>0</v>
      </c>
      <c r="AL67" s="498">
        <f>SUM(AL68:AL68)</f>
        <v>0</v>
      </c>
      <c r="AM67" s="500">
        <f>SUM(AM68)</f>
        <v>0</v>
      </c>
    </row>
    <row r="68" spans="1:39" s="513" customFormat="1" ht="21.75" customHeight="1" thickBot="1">
      <c r="A68" s="501"/>
      <c r="B68" s="502" t="s">
        <v>303</v>
      </c>
      <c r="C68" s="438" t="s">
        <v>315</v>
      </c>
      <c r="D68" s="289" t="s">
        <v>274</v>
      </c>
      <c r="E68" s="503"/>
      <c r="F68" s="504"/>
      <c r="G68" s="505"/>
      <c r="H68" s="506">
        <v>2250000</v>
      </c>
      <c r="I68" s="505">
        <v>1800000</v>
      </c>
      <c r="J68" s="507"/>
      <c r="K68" s="508"/>
      <c r="L68" s="508"/>
      <c r="M68" s="508"/>
      <c r="N68" s="508"/>
      <c r="O68" s="508"/>
      <c r="P68" s="508"/>
      <c r="Q68" s="508"/>
      <c r="R68" s="508"/>
      <c r="S68" s="508"/>
      <c r="T68" s="508"/>
      <c r="U68" s="508"/>
      <c r="V68" s="508"/>
      <c r="W68" s="508"/>
      <c r="X68" s="508"/>
      <c r="Y68" s="508"/>
      <c r="Z68" s="508"/>
      <c r="AA68" s="508"/>
      <c r="AB68" s="508"/>
      <c r="AC68" s="508"/>
      <c r="AD68" s="508"/>
      <c r="AE68" s="508"/>
      <c r="AF68" s="508"/>
      <c r="AG68" s="508"/>
      <c r="AH68" s="508"/>
      <c r="AI68" s="508"/>
      <c r="AJ68" s="509"/>
      <c r="AK68" s="510"/>
      <c r="AL68" s="511"/>
      <c r="AM68" s="512"/>
    </row>
    <row r="69" spans="1:39" s="218" customFormat="1" ht="18.75" customHeight="1" thickBot="1">
      <c r="A69" s="264" t="s">
        <v>338</v>
      </c>
      <c r="B69" s="889" t="s">
        <v>339</v>
      </c>
      <c r="C69" s="890"/>
      <c r="D69" s="891"/>
      <c r="E69" s="892"/>
      <c r="F69" s="269"/>
      <c r="G69" s="271">
        <f>SUM(G70)</f>
        <v>0</v>
      </c>
      <c r="H69" s="270">
        <f>SUM(H70)</f>
        <v>0</v>
      </c>
      <c r="I69" s="271">
        <f>SUM(I70)</f>
        <v>2200</v>
      </c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514">
        <f>SUM(AJ70)</f>
        <v>2200</v>
      </c>
      <c r="AK69" s="273">
        <f>SUM(AK70)</f>
        <v>2200</v>
      </c>
      <c r="AL69" s="274">
        <f>SUM(AL70)</f>
        <v>0</v>
      </c>
      <c r="AM69" s="275">
        <f>SUM(AM70)</f>
        <v>0</v>
      </c>
    </row>
    <row r="70" spans="1:39" s="218" customFormat="1" ht="12.75" customHeight="1" thickBot="1">
      <c r="A70" s="451"/>
      <c r="B70" s="906" t="s">
        <v>340</v>
      </c>
      <c r="C70" s="907"/>
      <c r="D70" s="279"/>
      <c r="E70" s="279"/>
      <c r="F70" s="281"/>
      <c r="G70" s="281"/>
      <c r="H70" s="282"/>
      <c r="I70" s="281">
        <f>SUM(I71)</f>
        <v>2200</v>
      </c>
      <c r="J70" s="515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84">
        <f>SUM(AJ71)</f>
        <v>2200</v>
      </c>
      <c r="AK70" s="305">
        <f>SUM(AK71)</f>
        <v>2200</v>
      </c>
      <c r="AL70" s="284">
        <v>0</v>
      </c>
      <c r="AM70" s="306">
        <f>SUM(AM71)</f>
        <v>0</v>
      </c>
    </row>
    <row r="71" spans="1:39" s="218" customFormat="1" ht="15" customHeight="1" thickBot="1">
      <c r="A71" s="516"/>
      <c r="B71" s="388" t="s">
        <v>341</v>
      </c>
      <c r="C71" s="351" t="s">
        <v>342</v>
      </c>
      <c r="D71" s="517" t="s">
        <v>343</v>
      </c>
      <c r="E71" s="518" t="s">
        <v>344</v>
      </c>
      <c r="F71" s="395">
        <v>14325172</v>
      </c>
      <c r="G71" s="395">
        <v>679316</v>
      </c>
      <c r="H71" s="394">
        <v>13639256</v>
      </c>
      <c r="I71" s="301">
        <v>2200</v>
      </c>
      <c r="J71" s="28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449">
        <v>2200</v>
      </c>
      <c r="AK71" s="519">
        <v>2200</v>
      </c>
      <c r="AL71" s="520"/>
      <c r="AM71" s="521"/>
    </row>
    <row r="72" spans="1:39" s="218" customFormat="1" ht="18.75" customHeight="1" thickBot="1">
      <c r="A72" s="264" t="s">
        <v>345</v>
      </c>
      <c r="B72" s="522" t="s">
        <v>346</v>
      </c>
      <c r="C72" s="522"/>
      <c r="D72" s="267"/>
      <c r="E72" s="267"/>
      <c r="F72" s="268"/>
      <c r="G72" s="268"/>
      <c r="H72" s="270">
        <f>SUM(H73,H79,H84)</f>
        <v>3500000</v>
      </c>
      <c r="I72" s="523">
        <f>SUM(I73,I79,I84)</f>
        <v>2700000</v>
      </c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  <c r="AI72" s="304"/>
      <c r="AJ72" s="514">
        <f>SUM(AJ79,AJ73,AJ84,AJ77)</f>
        <v>2300000</v>
      </c>
      <c r="AK72" s="273">
        <f>SUM(AK73,AK79,AK84,AK77)</f>
        <v>32533800</v>
      </c>
      <c r="AL72" s="274">
        <f>SUM(AL84,AL79,AL73)</f>
        <v>24444714</v>
      </c>
      <c r="AM72" s="275">
        <f>SUM(AM73)</f>
        <v>0</v>
      </c>
    </row>
    <row r="73" spans="1:39" s="218" customFormat="1" ht="15.75" customHeight="1" thickBot="1">
      <c r="A73" s="332"/>
      <c r="B73" s="418" t="s">
        <v>347</v>
      </c>
      <c r="C73" s="418"/>
      <c r="D73" s="279"/>
      <c r="E73" s="279"/>
      <c r="F73" s="280"/>
      <c r="G73" s="280"/>
      <c r="H73" s="282">
        <f>SUM(H74:H76)</f>
        <v>0</v>
      </c>
      <c r="I73" s="305">
        <f>SUM(I74,I75,I76)</f>
        <v>600000</v>
      </c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84">
        <f>SUM(AJ74:AJ76)</f>
        <v>1200000</v>
      </c>
      <c r="AK73" s="285">
        <f>SUM(AK74:AK76)</f>
        <v>10200000</v>
      </c>
      <c r="AL73" s="286">
        <f>SUM(AL74:AL76)</f>
        <v>20000000</v>
      </c>
      <c r="AM73" s="287">
        <f>SUM(AM74:AM76)</f>
        <v>0</v>
      </c>
    </row>
    <row r="74" spans="1:39" s="218" customFormat="1" ht="22.5" customHeight="1">
      <c r="A74" s="307"/>
      <c r="B74" s="388" t="s">
        <v>348</v>
      </c>
      <c r="C74" s="388" t="s">
        <v>349</v>
      </c>
      <c r="D74" s="897" t="s">
        <v>274</v>
      </c>
      <c r="E74" s="524" t="s">
        <v>310</v>
      </c>
      <c r="F74" s="452">
        <v>9000000</v>
      </c>
      <c r="G74" s="452"/>
      <c r="H74" s="453"/>
      <c r="I74" s="321"/>
      <c r="J74" s="233" t="s">
        <v>350</v>
      </c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322">
        <v>1000000</v>
      </c>
      <c r="AK74" s="314">
        <v>8000000</v>
      </c>
      <c r="AL74" s="315"/>
      <c r="AM74" s="316"/>
    </row>
    <row r="75" spans="1:39" s="218" customFormat="1" ht="22.5" customHeight="1">
      <c r="A75" s="307"/>
      <c r="B75" s="309" t="s">
        <v>351</v>
      </c>
      <c r="C75" s="386" t="s">
        <v>352</v>
      </c>
      <c r="D75" s="917"/>
      <c r="E75" s="391" t="s">
        <v>353</v>
      </c>
      <c r="F75" s="429">
        <v>22000000</v>
      </c>
      <c r="G75" s="429"/>
      <c r="H75" s="429"/>
      <c r="I75" s="339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I75" s="350"/>
      <c r="AJ75" s="313"/>
      <c r="AK75" s="339">
        <v>2000000</v>
      </c>
      <c r="AL75" s="313">
        <v>20000000</v>
      </c>
      <c r="AM75" s="345"/>
    </row>
    <row r="76" spans="1:39" s="218" customFormat="1" ht="18.75" customHeight="1" thickBot="1">
      <c r="A76" s="697"/>
      <c r="B76" s="324" t="s">
        <v>303</v>
      </c>
      <c r="C76" s="324" t="s">
        <v>315</v>
      </c>
      <c r="D76" s="908"/>
      <c r="E76" s="547"/>
      <c r="F76" s="548"/>
      <c r="G76" s="548"/>
      <c r="H76" s="549"/>
      <c r="I76" s="329">
        <v>600000</v>
      </c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416">
        <v>200000</v>
      </c>
      <c r="AK76" s="329">
        <v>200000</v>
      </c>
      <c r="AL76" s="416"/>
      <c r="AM76" s="696"/>
    </row>
    <row r="77" spans="1:39" s="218" customFormat="1" ht="18.75" customHeight="1" thickBot="1">
      <c r="A77" s="605"/>
      <c r="B77" s="533" t="s">
        <v>354</v>
      </c>
      <c r="C77" s="571"/>
      <c r="E77" s="455"/>
      <c r="F77" s="456"/>
      <c r="G77" s="456"/>
      <c r="H77" s="457"/>
      <c r="I77" s="448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86">
        <f>SUM(AJ78)</f>
        <v>1000000</v>
      </c>
      <c r="AK77" s="285">
        <f>SUM(AK78)</f>
        <v>7000000</v>
      </c>
      <c r="AL77" s="449"/>
      <c r="AM77" s="593">
        <f>SUM(AM78)</f>
        <v>0</v>
      </c>
    </row>
    <row r="78" spans="1:39" s="218" customFormat="1" ht="24.75" customHeight="1" thickBot="1">
      <c r="A78" s="443"/>
      <c r="B78" s="530" t="s">
        <v>355</v>
      </c>
      <c r="C78" s="527" t="s">
        <v>352</v>
      </c>
      <c r="D78" s="531" t="s">
        <v>274</v>
      </c>
      <c r="E78" s="532" t="s">
        <v>310</v>
      </c>
      <c r="F78" s="280"/>
      <c r="G78" s="280"/>
      <c r="H78" s="528"/>
      <c r="I78" s="519"/>
      <c r="J78" s="529"/>
      <c r="K78" s="529"/>
      <c r="L78" s="529"/>
      <c r="M78" s="529"/>
      <c r="N78" s="529"/>
      <c r="O78" s="529"/>
      <c r="P78" s="529"/>
      <c r="Q78" s="529"/>
      <c r="R78" s="529"/>
      <c r="S78" s="529"/>
      <c r="T78" s="529"/>
      <c r="U78" s="529"/>
      <c r="V78" s="529"/>
      <c r="W78" s="529"/>
      <c r="X78" s="529"/>
      <c r="Y78" s="529"/>
      <c r="Z78" s="529"/>
      <c r="AA78" s="529"/>
      <c r="AB78" s="529"/>
      <c r="AC78" s="529"/>
      <c r="AD78" s="529"/>
      <c r="AE78" s="529"/>
      <c r="AF78" s="529"/>
      <c r="AG78" s="529"/>
      <c r="AH78" s="529"/>
      <c r="AI78" s="529"/>
      <c r="AJ78" s="520">
        <v>1000000</v>
      </c>
      <c r="AK78" s="519">
        <v>7000000</v>
      </c>
      <c r="AL78" s="520"/>
      <c r="AM78" s="521"/>
    </row>
    <row r="79" spans="1:39" s="218" customFormat="1" ht="15.75" customHeight="1" thickBot="1">
      <c r="A79" s="525"/>
      <c r="B79" s="533" t="s">
        <v>356</v>
      </c>
      <c r="C79" s="533"/>
      <c r="D79" s="334"/>
      <c r="E79" s="534"/>
      <c r="F79" s="535"/>
      <c r="G79" s="536"/>
      <c r="H79" s="537">
        <f>SUM(H80,H83)</f>
        <v>0</v>
      </c>
      <c r="I79" s="285">
        <f>SUM(I80,I83)</f>
        <v>2100000</v>
      </c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538">
        <f>SUM(AJ80:AJ83)</f>
        <v>100000</v>
      </c>
      <c r="AK79" s="285">
        <f>SUM(AK80:AK83)</f>
        <v>8000000</v>
      </c>
      <c r="AL79" s="286">
        <f>SUM(AL80:AL83)</f>
        <v>2000000</v>
      </c>
      <c r="AM79" s="287">
        <f>SUM(AM80:AM83)</f>
        <v>0</v>
      </c>
    </row>
    <row r="80" spans="1:39" s="218" customFormat="1" ht="21" customHeight="1" thickBot="1">
      <c r="A80" s="525"/>
      <c r="B80" s="539" t="s">
        <v>348</v>
      </c>
      <c r="C80" s="388" t="s">
        <v>349</v>
      </c>
      <c r="D80" s="897" t="s">
        <v>274</v>
      </c>
      <c r="E80" s="524" t="s">
        <v>357</v>
      </c>
      <c r="F80" s="452">
        <v>12000000</v>
      </c>
      <c r="G80" s="540"/>
      <c r="H80" s="540"/>
      <c r="I80" s="321">
        <v>2000000</v>
      </c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0"/>
      <c r="V80" s="350"/>
      <c r="W80" s="350"/>
      <c r="X80" s="350"/>
      <c r="Y80" s="350"/>
      <c r="Z80" s="350"/>
      <c r="AA80" s="350"/>
      <c r="AB80" s="350"/>
      <c r="AC80" s="350"/>
      <c r="AD80" s="350"/>
      <c r="AE80" s="350"/>
      <c r="AF80" s="350"/>
      <c r="AG80" s="350"/>
      <c r="AH80" s="350"/>
      <c r="AI80" s="350"/>
      <c r="AJ80" s="315"/>
      <c r="AK80" s="314">
        <v>8000000</v>
      </c>
      <c r="AL80" s="315">
        <v>2000000</v>
      </c>
      <c r="AM80" s="316"/>
    </row>
    <row r="81" spans="1:39" s="218" customFormat="1" ht="23.25" customHeight="1" hidden="1" thickBot="1">
      <c r="A81" s="541"/>
      <c r="B81" s="542" t="s">
        <v>358</v>
      </c>
      <c r="C81" s="386"/>
      <c r="D81" s="917"/>
      <c r="E81" s="400"/>
      <c r="F81" s="431"/>
      <c r="G81" s="431"/>
      <c r="H81" s="543"/>
      <c r="I81" s="339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313"/>
      <c r="AK81" s="544"/>
      <c r="AL81" s="545"/>
      <c r="AM81" s="450"/>
    </row>
    <row r="82" spans="1:39" s="218" customFormat="1" ht="23.25" customHeight="1" hidden="1" thickBot="1">
      <c r="A82" s="546"/>
      <c r="B82" s="324" t="s">
        <v>348</v>
      </c>
      <c r="C82" s="366" t="s">
        <v>349</v>
      </c>
      <c r="D82" s="917"/>
      <c r="E82" s="547">
        <v>2006</v>
      </c>
      <c r="F82" s="548">
        <v>250000</v>
      </c>
      <c r="G82" s="548"/>
      <c r="H82" s="549"/>
      <c r="I82" s="339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313"/>
      <c r="AK82" s="544"/>
      <c r="AL82" s="545"/>
      <c r="AM82" s="450"/>
    </row>
    <row r="83" spans="1:39" s="218" customFormat="1" ht="15.75" customHeight="1" thickBot="1">
      <c r="A83" s="550"/>
      <c r="B83" s="366" t="s">
        <v>303</v>
      </c>
      <c r="C83" s="366" t="s">
        <v>315</v>
      </c>
      <c r="D83" s="908"/>
      <c r="E83" s="455"/>
      <c r="F83" s="456"/>
      <c r="G83" s="456"/>
      <c r="H83" s="457"/>
      <c r="I83" s="329">
        <v>100000</v>
      </c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416">
        <v>100000</v>
      </c>
      <c r="AK83" s="448"/>
      <c r="AL83" s="449"/>
      <c r="AM83" s="450"/>
    </row>
    <row r="84" spans="1:39" s="218" customFormat="1" ht="21.75" customHeight="1" thickBot="1">
      <c r="A84" s="551"/>
      <c r="B84" s="552" t="s">
        <v>359</v>
      </c>
      <c r="C84" s="553"/>
      <c r="D84" s="455"/>
      <c r="E84" s="455"/>
      <c r="F84" s="456"/>
      <c r="G84" s="456"/>
      <c r="H84" s="554">
        <f>SUM(H85)</f>
        <v>3500000</v>
      </c>
      <c r="I84" s="285">
        <f>SUM(I85)</f>
        <v>0</v>
      </c>
      <c r="J84" s="555"/>
      <c r="K84" s="555"/>
      <c r="L84" s="555"/>
      <c r="M84" s="555"/>
      <c r="N84" s="555"/>
      <c r="O84" s="555"/>
      <c r="P84" s="555"/>
      <c r="Q84" s="555"/>
      <c r="R84" s="555"/>
      <c r="S84" s="555"/>
      <c r="T84" s="555"/>
      <c r="U84" s="555"/>
      <c r="V84" s="555"/>
      <c r="W84" s="555"/>
      <c r="X84" s="555"/>
      <c r="Y84" s="555"/>
      <c r="Z84" s="555"/>
      <c r="AA84" s="555"/>
      <c r="AB84" s="555"/>
      <c r="AC84" s="555"/>
      <c r="AD84" s="555"/>
      <c r="AE84" s="555"/>
      <c r="AF84" s="555"/>
      <c r="AG84" s="555"/>
      <c r="AH84" s="555"/>
      <c r="AI84" s="555"/>
      <c r="AJ84" s="284">
        <f>SUM(AJ85)</f>
        <v>0</v>
      </c>
      <c r="AK84" s="305">
        <f>SUM(AK85)</f>
        <v>7333800</v>
      </c>
      <c r="AL84" s="284">
        <f>SUM(AL85)</f>
        <v>2444714</v>
      </c>
      <c r="AM84" s="306">
        <f>SUM(AM85)</f>
        <v>0</v>
      </c>
    </row>
    <row r="85" spans="1:40" s="218" customFormat="1" ht="39.75" customHeight="1" thickBot="1">
      <c r="A85" s="541"/>
      <c r="B85" s="556" t="s">
        <v>360</v>
      </c>
      <c r="C85" s="557" t="s">
        <v>361</v>
      </c>
      <c r="D85" s="558" t="s">
        <v>309</v>
      </c>
      <c r="E85" s="559" t="s">
        <v>353</v>
      </c>
      <c r="F85" s="560">
        <v>10140000</v>
      </c>
      <c r="G85" s="560">
        <v>361486</v>
      </c>
      <c r="H85" s="560">
        <v>3500000</v>
      </c>
      <c r="I85" s="329"/>
      <c r="J85" s="561"/>
      <c r="K85" s="561"/>
      <c r="L85" s="561"/>
      <c r="M85" s="561"/>
      <c r="N85" s="561"/>
      <c r="O85" s="561"/>
      <c r="P85" s="561"/>
      <c r="Q85" s="561"/>
      <c r="R85" s="561"/>
      <c r="S85" s="561"/>
      <c r="T85" s="561"/>
      <c r="U85" s="561"/>
      <c r="V85" s="561"/>
      <c r="W85" s="561"/>
      <c r="X85" s="561"/>
      <c r="Y85" s="561"/>
      <c r="Z85" s="561"/>
      <c r="AA85" s="561"/>
      <c r="AB85" s="561"/>
      <c r="AC85" s="561"/>
      <c r="AD85" s="561"/>
      <c r="AE85" s="561"/>
      <c r="AF85" s="561"/>
      <c r="AG85" s="561"/>
      <c r="AH85" s="561"/>
      <c r="AI85" s="561"/>
      <c r="AJ85" s="326"/>
      <c r="AK85" s="339">
        <v>7333800</v>
      </c>
      <c r="AL85" s="313">
        <v>2444714</v>
      </c>
      <c r="AM85" s="450"/>
      <c r="AN85" s="396"/>
    </row>
    <row r="86" spans="1:39" s="218" customFormat="1" ht="18.75" customHeight="1" thickBot="1">
      <c r="A86" s="562" t="s">
        <v>362</v>
      </c>
      <c r="B86" s="942" t="s">
        <v>363</v>
      </c>
      <c r="C86" s="943"/>
      <c r="D86" s="563"/>
      <c r="E86" s="563"/>
      <c r="F86" s="564"/>
      <c r="G86" s="564"/>
      <c r="H86" s="565">
        <f>H88</f>
        <v>19365</v>
      </c>
      <c r="I86" s="566">
        <f>I88</f>
        <v>109984</v>
      </c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514">
        <f>SUM(AJ88)</f>
        <v>82211</v>
      </c>
      <c r="AK86" s="273">
        <f>SUM(AK87)</f>
        <v>95150</v>
      </c>
      <c r="AL86" s="274">
        <f>SUM(AL87)</f>
        <v>0</v>
      </c>
      <c r="AM86" s="275">
        <f>SUM(AM87)</f>
        <v>0</v>
      </c>
    </row>
    <row r="87" spans="1:39" s="218" customFormat="1" ht="21" customHeight="1" thickBot="1">
      <c r="A87" s="567"/>
      <c r="B87" s="533" t="s">
        <v>364</v>
      </c>
      <c r="C87" s="568"/>
      <c r="D87" s="455"/>
      <c r="E87" s="455"/>
      <c r="F87" s="456"/>
      <c r="G87" s="456"/>
      <c r="H87" s="554">
        <f>SUM(H88)</f>
        <v>19365</v>
      </c>
      <c r="I87" s="305">
        <f>SUM(I88)</f>
        <v>109984</v>
      </c>
      <c r="J87" s="569"/>
      <c r="K87" s="569"/>
      <c r="L87" s="569"/>
      <c r="M87" s="569"/>
      <c r="N87" s="569"/>
      <c r="O87" s="569"/>
      <c r="P87" s="569"/>
      <c r="Q87" s="569"/>
      <c r="R87" s="569"/>
      <c r="S87" s="569"/>
      <c r="T87" s="569"/>
      <c r="U87" s="569"/>
      <c r="V87" s="569"/>
      <c r="W87" s="569"/>
      <c r="X87" s="569"/>
      <c r="Y87" s="569"/>
      <c r="Z87" s="569"/>
      <c r="AA87" s="569"/>
      <c r="AB87" s="569"/>
      <c r="AC87" s="569"/>
      <c r="AD87" s="569"/>
      <c r="AE87" s="569"/>
      <c r="AF87" s="569"/>
      <c r="AG87" s="569"/>
      <c r="AH87" s="569"/>
      <c r="AI87" s="569"/>
      <c r="AJ87" s="284">
        <f>SUM(AJ88)</f>
        <v>82211</v>
      </c>
      <c r="AK87" s="305">
        <f>SUM(AK88)</f>
        <v>95150</v>
      </c>
      <c r="AL87" s="284">
        <v>0</v>
      </c>
      <c r="AM87" s="306">
        <f>SUM(AM88)</f>
        <v>0</v>
      </c>
    </row>
    <row r="88" spans="1:39" s="218" customFormat="1" ht="60.75" customHeight="1" thickBot="1">
      <c r="A88" s="570"/>
      <c r="B88" s="527" t="s">
        <v>365</v>
      </c>
      <c r="C88" s="571" t="s">
        <v>366</v>
      </c>
      <c r="D88" s="298" t="s">
        <v>367</v>
      </c>
      <c r="E88" s="447" t="s">
        <v>368</v>
      </c>
      <c r="F88" s="560">
        <v>306750</v>
      </c>
      <c r="G88" s="560">
        <v>19405</v>
      </c>
      <c r="H88" s="572">
        <f>19078+287</f>
        <v>19365</v>
      </c>
      <c r="I88" s="326">
        <v>109984</v>
      </c>
      <c r="J88" s="573"/>
      <c r="K88" s="573"/>
      <c r="L88" s="573"/>
      <c r="M88" s="573"/>
      <c r="N88" s="573"/>
      <c r="O88" s="573"/>
      <c r="P88" s="573"/>
      <c r="Q88" s="573"/>
      <c r="R88" s="573"/>
      <c r="S88" s="573"/>
      <c r="T88" s="573"/>
      <c r="U88" s="573"/>
      <c r="V88" s="573"/>
      <c r="W88" s="573"/>
      <c r="X88" s="573"/>
      <c r="Y88" s="573"/>
      <c r="Z88" s="573"/>
      <c r="AA88" s="573"/>
      <c r="AB88" s="573"/>
      <c r="AC88" s="573"/>
      <c r="AD88" s="573"/>
      <c r="AE88" s="573"/>
      <c r="AF88" s="573"/>
      <c r="AG88" s="573"/>
      <c r="AH88" s="573"/>
      <c r="AI88" s="573"/>
      <c r="AJ88" s="330">
        <v>82211</v>
      </c>
      <c r="AK88" s="574">
        <v>95150</v>
      </c>
      <c r="AL88" s="520"/>
      <c r="AM88" s="521"/>
    </row>
    <row r="89" spans="1:39" s="218" customFormat="1" ht="18.75" customHeight="1" thickBot="1">
      <c r="A89" s="575" t="s">
        <v>369</v>
      </c>
      <c r="B89" s="922" t="s">
        <v>370</v>
      </c>
      <c r="C89" s="923"/>
      <c r="D89" s="576"/>
      <c r="E89" s="577"/>
      <c r="F89" s="578"/>
      <c r="G89" s="578"/>
      <c r="H89" s="579">
        <f>H90</f>
        <v>0</v>
      </c>
      <c r="I89" s="580">
        <f>SUM(I90)</f>
        <v>15000</v>
      </c>
      <c r="J89" s="581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4"/>
      <c r="AC89" s="304"/>
      <c r="AD89" s="304"/>
      <c r="AE89" s="304"/>
      <c r="AF89" s="304"/>
      <c r="AG89" s="304"/>
      <c r="AH89" s="304"/>
      <c r="AI89" s="304"/>
      <c r="AJ89" s="514">
        <f>SUM(AJ90)</f>
        <v>1600000</v>
      </c>
      <c r="AK89" s="273">
        <v>0</v>
      </c>
      <c r="AL89" s="274">
        <v>0</v>
      </c>
      <c r="AM89" s="275">
        <f>SUM(AM90)</f>
        <v>0</v>
      </c>
    </row>
    <row r="90" spans="1:39" s="585" customFormat="1" ht="21.75" customHeight="1" thickBot="1">
      <c r="A90" s="582"/>
      <c r="B90" s="919" t="s">
        <v>371</v>
      </c>
      <c r="C90" s="920"/>
      <c r="D90" s="921"/>
      <c r="E90" s="583"/>
      <c r="F90" s="437"/>
      <c r="G90" s="437"/>
      <c r="H90" s="436">
        <f>SUM(H91:H92)</f>
        <v>0</v>
      </c>
      <c r="I90" s="305">
        <f>SUM(I91:I92)</f>
        <v>15000</v>
      </c>
      <c r="J90" s="584"/>
      <c r="K90" s="555"/>
      <c r="L90" s="555"/>
      <c r="M90" s="555"/>
      <c r="N90" s="555"/>
      <c r="O90" s="555"/>
      <c r="P90" s="555"/>
      <c r="Q90" s="555"/>
      <c r="R90" s="555"/>
      <c r="S90" s="555"/>
      <c r="T90" s="555"/>
      <c r="U90" s="555"/>
      <c r="V90" s="555"/>
      <c r="W90" s="555"/>
      <c r="X90" s="555"/>
      <c r="Y90" s="555"/>
      <c r="Z90" s="555"/>
      <c r="AA90" s="555"/>
      <c r="AB90" s="555"/>
      <c r="AC90" s="555"/>
      <c r="AD90" s="555"/>
      <c r="AE90" s="555"/>
      <c r="AF90" s="555"/>
      <c r="AG90" s="555"/>
      <c r="AH90" s="555"/>
      <c r="AI90" s="555"/>
      <c r="AJ90" s="284">
        <f>SUM(AJ91:AJ92)</f>
        <v>1600000</v>
      </c>
      <c r="AK90" s="305">
        <v>0</v>
      </c>
      <c r="AL90" s="284">
        <v>0</v>
      </c>
      <c r="AM90" s="306">
        <f>SUM(AM91:AM92)</f>
        <v>0</v>
      </c>
    </row>
    <row r="91" spans="1:39" s="585" customFormat="1" ht="26.25" customHeight="1">
      <c r="A91" s="586"/>
      <c r="B91" s="587" t="s">
        <v>372</v>
      </c>
      <c r="C91" s="588" t="s">
        <v>326</v>
      </c>
      <c r="D91" s="897" t="s">
        <v>274</v>
      </c>
      <c r="E91" s="589">
        <v>2012</v>
      </c>
      <c r="F91" s="395">
        <v>1600000</v>
      </c>
      <c r="G91" s="395"/>
      <c r="H91" s="394"/>
      <c r="I91" s="590"/>
      <c r="J91" s="584"/>
      <c r="K91" s="555"/>
      <c r="L91" s="555"/>
      <c r="M91" s="555"/>
      <c r="N91" s="555"/>
      <c r="O91" s="555"/>
      <c r="P91" s="555"/>
      <c r="Q91" s="555"/>
      <c r="R91" s="555"/>
      <c r="S91" s="555"/>
      <c r="T91" s="555"/>
      <c r="U91" s="555"/>
      <c r="V91" s="555"/>
      <c r="W91" s="555"/>
      <c r="X91" s="555"/>
      <c r="Y91" s="555"/>
      <c r="Z91" s="555"/>
      <c r="AA91" s="555"/>
      <c r="AB91" s="555"/>
      <c r="AC91" s="555"/>
      <c r="AD91" s="555"/>
      <c r="AE91" s="555"/>
      <c r="AF91" s="555"/>
      <c r="AG91" s="555"/>
      <c r="AH91" s="555"/>
      <c r="AI91" s="555"/>
      <c r="AJ91" s="426">
        <v>1600000</v>
      </c>
      <c r="AK91" s="442"/>
      <c r="AL91" s="427"/>
      <c r="AM91" s="428"/>
    </row>
    <row r="92" spans="1:39" s="218" customFormat="1" ht="15.75" customHeight="1" thickBot="1">
      <c r="A92" s="591"/>
      <c r="B92" s="592" t="s">
        <v>303</v>
      </c>
      <c r="C92" s="309" t="s">
        <v>315</v>
      </c>
      <c r="D92" s="908"/>
      <c r="E92" s="547"/>
      <c r="F92" s="548"/>
      <c r="G92" s="548"/>
      <c r="H92" s="549"/>
      <c r="I92" s="329">
        <v>15000</v>
      </c>
      <c r="J92" s="338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545"/>
      <c r="AK92" s="448"/>
      <c r="AL92" s="449"/>
      <c r="AM92" s="593"/>
    </row>
    <row r="93" spans="1:39" s="218" customFormat="1" ht="18.75" customHeight="1" thickBot="1">
      <c r="A93" s="264" t="s">
        <v>373</v>
      </c>
      <c r="B93" s="889" t="s">
        <v>374</v>
      </c>
      <c r="C93" s="941"/>
      <c r="D93" s="941"/>
      <c r="E93" s="941"/>
      <c r="F93" s="940"/>
      <c r="G93" s="594"/>
      <c r="H93" s="595">
        <f>SUM(H94,H104,H108,H112)</f>
        <v>0</v>
      </c>
      <c r="I93" s="596">
        <f>SUM(I94,I104,I108,I112)</f>
        <v>23822488</v>
      </c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  <c r="AC93" s="304"/>
      <c r="AD93" s="304"/>
      <c r="AE93" s="304"/>
      <c r="AF93" s="304"/>
      <c r="AG93" s="304"/>
      <c r="AH93" s="304"/>
      <c r="AI93" s="304"/>
      <c r="AJ93" s="274">
        <f>SUM(AJ94,AJ104,AJ108,AJ112,)</f>
        <v>22882347</v>
      </c>
      <c r="AK93" s="273">
        <f>SUM(AK94,AK104,AK108,AK112,)</f>
        <v>8350000</v>
      </c>
      <c r="AL93" s="274">
        <f>SUM(AL94,AL104,AL108,AL112,)</f>
        <v>0</v>
      </c>
      <c r="AM93" s="275">
        <f>SUM(AM94,AM104,AM108,AM112,)</f>
        <v>0</v>
      </c>
    </row>
    <row r="94" spans="1:39" s="218" customFormat="1" ht="19.5" customHeight="1" thickBot="1">
      <c r="A94" s="451"/>
      <c r="B94" s="418" t="s">
        <v>375</v>
      </c>
      <c r="C94" s="418"/>
      <c r="D94" s="597"/>
      <c r="E94" s="597"/>
      <c r="F94" s="598"/>
      <c r="G94" s="598"/>
      <c r="H94" s="282">
        <f>SUM(H95:H103)</f>
        <v>0</v>
      </c>
      <c r="I94" s="305">
        <f>SUM(I95:I97,I99,I101:I103)</f>
        <v>16100000</v>
      </c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84">
        <f>SUM(AJ95:AJ97,AJ99,AJ101:AJ103)</f>
        <v>5557497</v>
      </c>
      <c r="AK94" s="305">
        <f>SUM(AK95:AK97,AK99,AK101:AK103)</f>
        <v>5600000</v>
      </c>
      <c r="AL94" s="284">
        <f>SUM(AL95:AL103)</f>
        <v>0</v>
      </c>
      <c r="AM94" s="306">
        <f>SUM(AM95:AM103)</f>
        <v>0</v>
      </c>
    </row>
    <row r="95" spans="1:39" s="218" customFormat="1" ht="32.25" customHeight="1">
      <c r="A95" s="459"/>
      <c r="B95" s="539" t="s">
        <v>376</v>
      </c>
      <c r="C95" s="388" t="s">
        <v>377</v>
      </c>
      <c r="D95" s="289" t="s">
        <v>274</v>
      </c>
      <c r="E95" s="524" t="s">
        <v>301</v>
      </c>
      <c r="F95" s="540">
        <v>11000000</v>
      </c>
      <c r="G95" s="599"/>
      <c r="H95" s="453"/>
      <c r="I95" s="321">
        <v>5000000</v>
      </c>
      <c r="J95" s="338" t="e">
        <f>#REF!-800000</f>
        <v>#REF!</v>
      </c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315">
        <v>3000000</v>
      </c>
      <c r="AK95" s="314">
        <v>3000000</v>
      </c>
      <c r="AL95" s="315"/>
      <c r="AM95" s="316"/>
    </row>
    <row r="96" spans="1:39" s="218" customFormat="1" ht="35.25" customHeight="1">
      <c r="A96" s="307"/>
      <c r="B96" s="309" t="s">
        <v>378</v>
      </c>
      <c r="C96" s="309" t="s">
        <v>379</v>
      </c>
      <c r="D96" s="334"/>
      <c r="E96" s="524" t="s">
        <v>301</v>
      </c>
      <c r="F96" s="429">
        <v>4000000</v>
      </c>
      <c r="G96" s="429"/>
      <c r="H96" s="337"/>
      <c r="I96" s="339">
        <v>1000000</v>
      </c>
      <c r="J96" s="338" t="e">
        <f>#REF!-1250000</f>
        <v>#REF!</v>
      </c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313">
        <v>1000000</v>
      </c>
      <c r="AK96" s="339">
        <v>2000000</v>
      </c>
      <c r="AL96" s="313"/>
      <c r="AM96" s="345"/>
    </row>
    <row r="97" spans="1:39" s="295" customFormat="1" ht="48" customHeight="1">
      <c r="A97" s="586"/>
      <c r="B97" s="358" t="s">
        <v>380</v>
      </c>
      <c r="C97" s="309" t="s">
        <v>315</v>
      </c>
      <c r="D97" s="334"/>
      <c r="E97" s="310"/>
      <c r="F97" s="379"/>
      <c r="G97" s="299"/>
      <c r="H97" s="300"/>
      <c r="I97" s="301">
        <v>100000</v>
      </c>
      <c r="J97" s="600"/>
      <c r="K97" s="425"/>
      <c r="L97" s="425"/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425"/>
      <c r="AI97" s="425"/>
      <c r="AJ97" s="385"/>
      <c r="AK97" s="312"/>
      <c r="AL97" s="385"/>
      <c r="AM97" s="475"/>
    </row>
    <row r="98" spans="1:39" s="295" customFormat="1" ht="19.5" customHeight="1">
      <c r="A98" s="586"/>
      <c r="B98" s="910" t="s">
        <v>381</v>
      </c>
      <c r="C98" s="901" t="s">
        <v>377</v>
      </c>
      <c r="D98" s="334"/>
      <c r="E98" s="518" t="s">
        <v>331</v>
      </c>
      <c r="F98" s="301">
        <v>71316579</v>
      </c>
      <c r="G98" s="299">
        <v>5839990</v>
      </c>
      <c r="H98" s="300"/>
      <c r="I98" s="301">
        <f>SUM(I99:I100)</f>
        <v>24000000</v>
      </c>
      <c r="J98" s="600"/>
      <c r="K98" s="425"/>
      <c r="L98" s="425"/>
      <c r="M98" s="425"/>
      <c r="N98" s="425"/>
      <c r="O98" s="425"/>
      <c r="P98" s="425"/>
      <c r="Q98" s="425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425"/>
      <c r="AE98" s="425"/>
      <c r="AF98" s="425"/>
      <c r="AG98" s="425"/>
      <c r="AH98" s="425"/>
      <c r="AI98" s="425"/>
      <c r="AJ98" s="385">
        <f>SUM(AJ99:AJ100)</f>
        <v>41476589</v>
      </c>
      <c r="AK98" s="312"/>
      <c r="AL98" s="385"/>
      <c r="AM98" s="475"/>
    </row>
    <row r="99" spans="1:39" s="295" customFormat="1" ht="20.25" customHeight="1">
      <c r="A99" s="586"/>
      <c r="B99" s="911"/>
      <c r="C99" s="913"/>
      <c r="D99" s="334"/>
      <c r="E99" s="476" t="s">
        <v>282</v>
      </c>
      <c r="F99" s="379">
        <v>10697487</v>
      </c>
      <c r="G99" s="468">
        <v>5839990</v>
      </c>
      <c r="H99" s="300"/>
      <c r="I99" s="373">
        <v>4000000</v>
      </c>
      <c r="J99" s="601"/>
      <c r="K99" s="602"/>
      <c r="L99" s="602"/>
      <c r="M99" s="602"/>
      <c r="N99" s="602"/>
      <c r="O99" s="602"/>
      <c r="P99" s="602"/>
      <c r="Q99" s="602"/>
      <c r="R99" s="602"/>
      <c r="S99" s="602"/>
      <c r="T99" s="602"/>
      <c r="U99" s="602"/>
      <c r="V99" s="602"/>
      <c r="W99" s="602"/>
      <c r="X99" s="602"/>
      <c r="Y99" s="602"/>
      <c r="Z99" s="602"/>
      <c r="AA99" s="602"/>
      <c r="AB99" s="602"/>
      <c r="AC99" s="602"/>
      <c r="AD99" s="602"/>
      <c r="AE99" s="602"/>
      <c r="AF99" s="602"/>
      <c r="AG99" s="602"/>
      <c r="AH99" s="602"/>
      <c r="AI99" s="602"/>
      <c r="AJ99" s="376">
        <v>857497</v>
      </c>
      <c r="AK99" s="312"/>
      <c r="AL99" s="385"/>
      <c r="AM99" s="475"/>
    </row>
    <row r="100" spans="1:39" s="295" customFormat="1" ht="20.25" customHeight="1">
      <c r="A100" s="586"/>
      <c r="B100" s="925"/>
      <c r="C100" s="925"/>
      <c r="D100" s="398"/>
      <c r="E100" s="472" t="s">
        <v>283</v>
      </c>
      <c r="F100" s="379">
        <v>60619092</v>
      </c>
      <c r="G100" s="299"/>
      <c r="H100" s="300"/>
      <c r="I100" s="379">
        <v>20000000</v>
      </c>
      <c r="J100" s="699"/>
      <c r="K100" s="700"/>
      <c r="L100" s="700"/>
      <c r="M100" s="700"/>
      <c r="N100" s="700"/>
      <c r="O100" s="700"/>
      <c r="P100" s="700"/>
      <c r="Q100" s="700"/>
      <c r="R100" s="700"/>
      <c r="S100" s="700"/>
      <c r="T100" s="700"/>
      <c r="U100" s="700"/>
      <c r="V100" s="700"/>
      <c r="W100" s="700"/>
      <c r="X100" s="700"/>
      <c r="Y100" s="700"/>
      <c r="Z100" s="700"/>
      <c r="AA100" s="700"/>
      <c r="AB100" s="700"/>
      <c r="AC100" s="700"/>
      <c r="AD100" s="700"/>
      <c r="AE100" s="700"/>
      <c r="AF100" s="700"/>
      <c r="AG100" s="700"/>
      <c r="AH100" s="700"/>
      <c r="AI100" s="700"/>
      <c r="AJ100" s="382">
        <v>40619092</v>
      </c>
      <c r="AK100" s="312"/>
      <c r="AL100" s="385"/>
      <c r="AM100" s="475"/>
    </row>
    <row r="101" spans="1:39" s="295" customFormat="1" ht="41.25" customHeight="1">
      <c r="A101" s="296"/>
      <c r="B101" s="308" t="s">
        <v>382</v>
      </c>
      <c r="C101" s="388" t="s">
        <v>377</v>
      </c>
      <c r="D101" s="334"/>
      <c r="E101" s="518" t="s">
        <v>268</v>
      </c>
      <c r="F101" s="301">
        <v>5500000</v>
      </c>
      <c r="G101" s="299"/>
      <c r="H101" s="300"/>
      <c r="I101" s="301">
        <v>5000000</v>
      </c>
      <c r="J101" s="603"/>
      <c r="K101" s="425"/>
      <c r="L101" s="425"/>
      <c r="M101" s="425"/>
      <c r="N101" s="425"/>
      <c r="O101" s="425"/>
      <c r="P101" s="425"/>
      <c r="Q101" s="425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5"/>
      <c r="AE101" s="425"/>
      <c r="AF101" s="425"/>
      <c r="AG101" s="425"/>
      <c r="AH101" s="425"/>
      <c r="AI101" s="425"/>
      <c r="AJ101" s="302">
        <v>500000</v>
      </c>
      <c r="AK101" s="301"/>
      <c r="AL101" s="302"/>
      <c r="AM101" s="623"/>
    </row>
    <row r="102" spans="1:39" s="218" customFormat="1" ht="15" customHeight="1">
      <c r="A102" s="525"/>
      <c r="B102" s="309" t="s">
        <v>303</v>
      </c>
      <c r="C102" s="309" t="s">
        <v>315</v>
      </c>
      <c r="D102" s="334"/>
      <c r="E102" s="363"/>
      <c r="F102" s="429"/>
      <c r="G102" s="429"/>
      <c r="H102" s="337"/>
      <c r="I102" s="312">
        <v>900000</v>
      </c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3"/>
      <c r="AG102" s="233"/>
      <c r="AH102" s="233"/>
      <c r="AI102" s="233"/>
      <c r="AJ102" s="313">
        <v>100000</v>
      </c>
      <c r="AK102" s="339">
        <v>500000</v>
      </c>
      <c r="AL102" s="313"/>
      <c r="AM102" s="345"/>
    </row>
    <row r="103" spans="1:39" s="218" customFormat="1" ht="24" customHeight="1" thickBot="1">
      <c r="A103" s="307"/>
      <c r="B103" s="604" t="s">
        <v>313</v>
      </c>
      <c r="C103" s="324" t="s">
        <v>314</v>
      </c>
      <c r="D103" s="298"/>
      <c r="E103" s="547"/>
      <c r="F103" s="548"/>
      <c r="G103" s="548"/>
      <c r="H103" s="549"/>
      <c r="I103" s="329">
        <v>100000</v>
      </c>
      <c r="J103" s="244"/>
      <c r="K103" s="515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416">
        <v>100000</v>
      </c>
      <c r="AK103" s="329">
        <v>100000</v>
      </c>
      <c r="AL103" s="416"/>
      <c r="AM103" s="417"/>
    </row>
    <row r="104" spans="1:39" s="218" customFormat="1" ht="17.25" customHeight="1" thickBot="1">
      <c r="A104" s="605"/>
      <c r="B104" s="533" t="s">
        <v>383</v>
      </c>
      <c r="C104" s="533"/>
      <c r="D104" s="533"/>
      <c r="E104" s="533"/>
      <c r="F104" s="606"/>
      <c r="G104" s="606"/>
      <c r="H104" s="607"/>
      <c r="I104" s="285">
        <f>SUM(I105:I107)</f>
        <v>1111736</v>
      </c>
      <c r="J104" s="350"/>
      <c r="K104" s="350"/>
      <c r="L104" s="350"/>
      <c r="M104" s="350"/>
      <c r="N104" s="350"/>
      <c r="O104" s="350"/>
      <c r="P104" s="350"/>
      <c r="Q104" s="350"/>
      <c r="R104" s="350"/>
      <c r="S104" s="350"/>
      <c r="T104" s="350"/>
      <c r="U104" s="350"/>
      <c r="V104" s="350"/>
      <c r="W104" s="350"/>
      <c r="X104" s="350"/>
      <c r="Y104" s="350"/>
      <c r="Z104" s="350"/>
      <c r="AA104" s="350"/>
      <c r="AB104" s="350"/>
      <c r="AC104" s="350"/>
      <c r="AD104" s="350"/>
      <c r="AE104" s="350"/>
      <c r="AF104" s="350"/>
      <c r="AG104" s="350"/>
      <c r="AH104" s="350"/>
      <c r="AI104" s="350"/>
      <c r="AJ104" s="286">
        <f>SUM(AJ105:AJ107)</f>
        <v>3647786</v>
      </c>
      <c r="AK104" s="305">
        <f>SUM(AK105:AK107)</f>
        <v>2050000</v>
      </c>
      <c r="AL104" s="284">
        <f>SUM(AL105:AL107)</f>
        <v>0</v>
      </c>
      <c r="AM104" s="306">
        <f>SUM(AM106:AM107,AM105)</f>
        <v>0</v>
      </c>
    </row>
    <row r="105" spans="1:39" s="612" customFormat="1" ht="13.5" customHeight="1">
      <c r="A105" s="459"/>
      <c r="B105" s="388" t="s">
        <v>384</v>
      </c>
      <c r="C105" s="388" t="s">
        <v>385</v>
      </c>
      <c r="D105" s="608" t="s">
        <v>274</v>
      </c>
      <c r="E105" s="524" t="s">
        <v>301</v>
      </c>
      <c r="F105" s="452"/>
      <c r="G105" s="452"/>
      <c r="H105" s="453"/>
      <c r="I105" s="301">
        <v>1000000</v>
      </c>
      <c r="J105" s="609"/>
      <c r="K105" s="610"/>
      <c r="L105" s="610"/>
      <c r="M105" s="610"/>
      <c r="N105" s="610"/>
      <c r="O105" s="610"/>
      <c r="P105" s="610"/>
      <c r="Q105" s="610"/>
      <c r="R105" s="610"/>
      <c r="S105" s="610"/>
      <c r="T105" s="610"/>
      <c r="U105" s="610"/>
      <c r="V105" s="610"/>
      <c r="W105" s="610"/>
      <c r="X105" s="610"/>
      <c r="Y105" s="610"/>
      <c r="Z105" s="610"/>
      <c r="AA105" s="610"/>
      <c r="AB105" s="610"/>
      <c r="AC105" s="610"/>
      <c r="AD105" s="610"/>
      <c r="AE105" s="610"/>
      <c r="AF105" s="610"/>
      <c r="AG105" s="610"/>
      <c r="AH105" s="610"/>
      <c r="AI105" s="610"/>
      <c r="AJ105" s="426">
        <v>2000000</v>
      </c>
      <c r="AK105" s="424">
        <v>2000000</v>
      </c>
      <c r="AL105" s="426"/>
      <c r="AM105" s="611"/>
    </row>
    <row r="106" spans="1:40" s="612" customFormat="1" ht="68.25" customHeight="1">
      <c r="A106" s="459"/>
      <c r="B106" s="386" t="s">
        <v>386</v>
      </c>
      <c r="C106" s="613" t="s">
        <v>387</v>
      </c>
      <c r="D106" s="614" t="s">
        <v>388</v>
      </c>
      <c r="E106" s="232" t="s">
        <v>298</v>
      </c>
      <c r="F106" s="431">
        <v>1762856</v>
      </c>
      <c r="G106" s="431">
        <v>103334</v>
      </c>
      <c r="H106" s="430"/>
      <c r="I106" s="590">
        <v>61736</v>
      </c>
      <c r="J106" s="609"/>
      <c r="K106" s="610"/>
      <c r="L106" s="610"/>
      <c r="M106" s="610"/>
      <c r="N106" s="610"/>
      <c r="O106" s="610"/>
      <c r="P106" s="610"/>
      <c r="Q106" s="610"/>
      <c r="R106" s="610"/>
      <c r="S106" s="610"/>
      <c r="T106" s="610"/>
      <c r="U106" s="610"/>
      <c r="V106" s="610"/>
      <c r="W106" s="610"/>
      <c r="X106" s="610"/>
      <c r="Y106" s="610"/>
      <c r="Z106" s="610"/>
      <c r="AA106" s="610"/>
      <c r="AB106" s="610"/>
      <c r="AC106" s="610"/>
      <c r="AD106" s="610"/>
      <c r="AE106" s="610"/>
      <c r="AF106" s="610"/>
      <c r="AG106" s="610"/>
      <c r="AH106" s="610"/>
      <c r="AI106" s="610"/>
      <c r="AJ106" s="385">
        <v>1597786</v>
      </c>
      <c r="AK106" s="312"/>
      <c r="AL106" s="385"/>
      <c r="AM106" s="475"/>
      <c r="AN106" s="615"/>
    </row>
    <row r="107" spans="1:39" s="612" customFormat="1" ht="12" thickBot="1">
      <c r="A107" s="459"/>
      <c r="B107" s="366" t="s">
        <v>303</v>
      </c>
      <c r="C107" s="366" t="s">
        <v>315</v>
      </c>
      <c r="D107" s="398" t="s">
        <v>274</v>
      </c>
      <c r="E107" s="328"/>
      <c r="F107" s="433"/>
      <c r="G107" s="433"/>
      <c r="H107" s="434"/>
      <c r="I107" s="292">
        <v>50000</v>
      </c>
      <c r="J107" s="609"/>
      <c r="K107" s="610"/>
      <c r="L107" s="610"/>
      <c r="M107" s="610"/>
      <c r="N107" s="610"/>
      <c r="O107" s="610"/>
      <c r="P107" s="610"/>
      <c r="Q107" s="610"/>
      <c r="R107" s="610"/>
      <c r="S107" s="610"/>
      <c r="T107" s="610"/>
      <c r="U107" s="610"/>
      <c r="V107" s="610"/>
      <c r="W107" s="610"/>
      <c r="X107" s="610"/>
      <c r="Y107" s="610"/>
      <c r="Z107" s="610"/>
      <c r="AA107" s="610"/>
      <c r="AB107" s="610"/>
      <c r="AC107" s="610"/>
      <c r="AD107" s="610"/>
      <c r="AE107" s="610"/>
      <c r="AF107" s="610"/>
      <c r="AG107" s="610"/>
      <c r="AH107" s="610"/>
      <c r="AI107" s="610"/>
      <c r="AJ107" s="616">
        <v>50000</v>
      </c>
      <c r="AK107" s="617">
        <v>50000</v>
      </c>
      <c r="AL107" s="618"/>
      <c r="AM107" s="619"/>
    </row>
    <row r="108" spans="1:39" s="612" customFormat="1" ht="16.5" customHeight="1" thickBot="1">
      <c r="A108" s="605"/>
      <c r="B108" s="939" t="s">
        <v>389</v>
      </c>
      <c r="C108" s="940"/>
      <c r="D108" s="279"/>
      <c r="E108" s="279"/>
      <c r="F108" s="280"/>
      <c r="G108" s="280"/>
      <c r="H108" s="282">
        <f>SUM(H109,H110,H111)</f>
        <v>0</v>
      </c>
      <c r="I108" s="620">
        <f>SUM(I109,I110,I111)</f>
        <v>750000</v>
      </c>
      <c r="J108" s="621"/>
      <c r="K108" s="621"/>
      <c r="L108" s="621"/>
      <c r="M108" s="621"/>
      <c r="N108" s="621"/>
      <c r="O108" s="621"/>
      <c r="P108" s="621"/>
      <c r="Q108" s="621"/>
      <c r="R108" s="621"/>
      <c r="S108" s="621"/>
      <c r="T108" s="621"/>
      <c r="U108" s="621"/>
      <c r="V108" s="621"/>
      <c r="W108" s="621"/>
      <c r="X108" s="621"/>
      <c r="Y108" s="621"/>
      <c r="Z108" s="621"/>
      <c r="AA108" s="621"/>
      <c r="AB108" s="621"/>
      <c r="AC108" s="621"/>
      <c r="AD108" s="621"/>
      <c r="AE108" s="621"/>
      <c r="AF108" s="621"/>
      <c r="AG108" s="621"/>
      <c r="AH108" s="621"/>
      <c r="AI108" s="621"/>
      <c r="AJ108" s="622">
        <f>SUM(AJ109:AJ111)</f>
        <v>600000</v>
      </c>
      <c r="AK108" s="305">
        <f>SUM(AK109:AK111)</f>
        <v>600000</v>
      </c>
      <c r="AL108" s="284">
        <f>SUM(AL109:AL111)</f>
        <v>0</v>
      </c>
      <c r="AM108" s="306">
        <f>SUM(AM109:AM111)</f>
        <v>0</v>
      </c>
    </row>
    <row r="109" spans="1:39" s="612" customFormat="1" ht="15.75" customHeight="1">
      <c r="A109" s="459"/>
      <c r="B109" s="388" t="s">
        <v>390</v>
      </c>
      <c r="C109" s="539" t="s">
        <v>342</v>
      </c>
      <c r="D109" s="897" t="s">
        <v>274</v>
      </c>
      <c r="E109" s="524" t="s">
        <v>301</v>
      </c>
      <c r="F109" s="452"/>
      <c r="G109" s="452"/>
      <c r="H109" s="453"/>
      <c r="I109" s="301">
        <v>500000</v>
      </c>
      <c r="J109" s="609"/>
      <c r="K109" s="610"/>
      <c r="L109" s="610"/>
      <c r="M109" s="610"/>
      <c r="N109" s="610"/>
      <c r="O109" s="610"/>
      <c r="P109" s="610"/>
      <c r="Q109" s="610"/>
      <c r="R109" s="610"/>
      <c r="S109" s="610"/>
      <c r="T109" s="610"/>
      <c r="U109" s="610"/>
      <c r="V109" s="610"/>
      <c r="W109" s="610"/>
      <c r="X109" s="610"/>
      <c r="Y109" s="610"/>
      <c r="Z109" s="610"/>
      <c r="AA109" s="610"/>
      <c r="AB109" s="610"/>
      <c r="AC109" s="610"/>
      <c r="AD109" s="610"/>
      <c r="AE109" s="610"/>
      <c r="AF109" s="610"/>
      <c r="AG109" s="610"/>
      <c r="AH109" s="610"/>
      <c r="AI109" s="610"/>
      <c r="AJ109" s="426">
        <v>500000</v>
      </c>
      <c r="AK109" s="424">
        <v>500000</v>
      </c>
      <c r="AL109" s="426"/>
      <c r="AM109" s="623"/>
    </row>
    <row r="110" spans="1:39" s="612" customFormat="1" ht="11.25">
      <c r="A110" s="459"/>
      <c r="B110" s="309" t="s">
        <v>313</v>
      </c>
      <c r="C110" s="363" t="s">
        <v>342</v>
      </c>
      <c r="D110" s="917"/>
      <c r="E110" s="524" t="s">
        <v>301</v>
      </c>
      <c r="F110" s="429"/>
      <c r="G110" s="429"/>
      <c r="H110" s="624"/>
      <c r="I110" s="312">
        <v>50000</v>
      </c>
      <c r="J110" s="610"/>
      <c r="K110" s="610"/>
      <c r="L110" s="610"/>
      <c r="M110" s="610"/>
      <c r="N110" s="610"/>
      <c r="O110" s="610"/>
      <c r="P110" s="610"/>
      <c r="Q110" s="610"/>
      <c r="R110" s="610"/>
      <c r="S110" s="610"/>
      <c r="T110" s="610"/>
      <c r="U110" s="610"/>
      <c r="V110" s="610"/>
      <c r="W110" s="610"/>
      <c r="X110" s="610"/>
      <c r="Y110" s="610"/>
      <c r="Z110" s="610"/>
      <c r="AA110" s="610"/>
      <c r="AB110" s="610"/>
      <c r="AC110" s="610"/>
      <c r="AD110" s="610"/>
      <c r="AE110" s="610"/>
      <c r="AF110" s="610"/>
      <c r="AG110" s="610"/>
      <c r="AH110" s="610"/>
      <c r="AI110" s="610"/>
      <c r="AJ110" s="385">
        <v>50000</v>
      </c>
      <c r="AK110" s="312">
        <v>50000</v>
      </c>
      <c r="AL110" s="385"/>
      <c r="AM110" s="475"/>
    </row>
    <row r="111" spans="1:39" s="612" customFormat="1" ht="18.75" customHeight="1" thickBot="1">
      <c r="A111" s="307"/>
      <c r="B111" s="366" t="s">
        <v>303</v>
      </c>
      <c r="C111" s="366" t="s">
        <v>315</v>
      </c>
      <c r="D111" s="908"/>
      <c r="E111" s="328"/>
      <c r="F111" s="433"/>
      <c r="G111" s="433"/>
      <c r="H111" s="434"/>
      <c r="I111" s="292">
        <v>200000</v>
      </c>
      <c r="J111" s="610"/>
      <c r="K111" s="610"/>
      <c r="L111" s="610"/>
      <c r="M111" s="610"/>
      <c r="N111" s="610"/>
      <c r="O111" s="610"/>
      <c r="P111" s="610"/>
      <c r="Q111" s="610"/>
      <c r="R111" s="610"/>
      <c r="S111" s="610"/>
      <c r="T111" s="610"/>
      <c r="U111" s="610"/>
      <c r="V111" s="610"/>
      <c r="W111" s="610"/>
      <c r="X111" s="610"/>
      <c r="Y111" s="610"/>
      <c r="Z111" s="610"/>
      <c r="AA111" s="610"/>
      <c r="AB111" s="610"/>
      <c r="AC111" s="610"/>
      <c r="AD111" s="610"/>
      <c r="AE111" s="610"/>
      <c r="AF111" s="610"/>
      <c r="AG111" s="610"/>
      <c r="AH111" s="610"/>
      <c r="AI111" s="610"/>
      <c r="AJ111" s="294">
        <v>50000</v>
      </c>
      <c r="AK111" s="326">
        <v>50000</v>
      </c>
      <c r="AL111" s="330"/>
      <c r="AM111" s="625"/>
    </row>
    <row r="112" spans="1:39" s="218" customFormat="1" ht="15" customHeight="1" thickBot="1">
      <c r="A112" s="605"/>
      <c r="B112" s="418" t="s">
        <v>391</v>
      </c>
      <c r="C112" s="418"/>
      <c r="D112" s="418"/>
      <c r="E112" s="418"/>
      <c r="F112" s="281"/>
      <c r="G112" s="281"/>
      <c r="H112" s="282"/>
      <c r="I112" s="281">
        <f>SUM(I113:I116,I118,I120:I121)</f>
        <v>5860752</v>
      </c>
      <c r="J112" s="281">
        <f aca="true" t="shared" si="2" ref="J112:AI112">SUM(J116,J119,J121)</f>
        <v>0</v>
      </c>
      <c r="K112" s="281">
        <f t="shared" si="2"/>
        <v>0</v>
      </c>
      <c r="L112" s="281">
        <f t="shared" si="2"/>
        <v>0</v>
      </c>
      <c r="M112" s="281">
        <f t="shared" si="2"/>
        <v>0</v>
      </c>
      <c r="N112" s="281">
        <f t="shared" si="2"/>
        <v>0</v>
      </c>
      <c r="O112" s="281">
        <f t="shared" si="2"/>
        <v>0</v>
      </c>
      <c r="P112" s="281">
        <f t="shared" si="2"/>
        <v>0</v>
      </c>
      <c r="Q112" s="281">
        <f t="shared" si="2"/>
        <v>0</v>
      </c>
      <c r="R112" s="281">
        <f t="shared" si="2"/>
        <v>0</v>
      </c>
      <c r="S112" s="281">
        <f t="shared" si="2"/>
        <v>0</v>
      </c>
      <c r="T112" s="281">
        <f t="shared" si="2"/>
        <v>0</v>
      </c>
      <c r="U112" s="281">
        <f t="shared" si="2"/>
        <v>0</v>
      </c>
      <c r="V112" s="281">
        <f t="shared" si="2"/>
        <v>0</v>
      </c>
      <c r="W112" s="281">
        <f t="shared" si="2"/>
        <v>0</v>
      </c>
      <c r="X112" s="281">
        <f t="shared" si="2"/>
        <v>0</v>
      </c>
      <c r="Y112" s="281">
        <f t="shared" si="2"/>
        <v>0</v>
      </c>
      <c r="Z112" s="281">
        <f t="shared" si="2"/>
        <v>0</v>
      </c>
      <c r="AA112" s="281">
        <f t="shared" si="2"/>
        <v>0</v>
      </c>
      <c r="AB112" s="281">
        <f t="shared" si="2"/>
        <v>0</v>
      </c>
      <c r="AC112" s="281">
        <f t="shared" si="2"/>
        <v>0</v>
      </c>
      <c r="AD112" s="281">
        <f t="shared" si="2"/>
        <v>0</v>
      </c>
      <c r="AE112" s="281">
        <f t="shared" si="2"/>
        <v>0</v>
      </c>
      <c r="AF112" s="281">
        <f t="shared" si="2"/>
        <v>0</v>
      </c>
      <c r="AG112" s="281">
        <f t="shared" si="2"/>
        <v>0</v>
      </c>
      <c r="AH112" s="281">
        <f t="shared" si="2"/>
        <v>0</v>
      </c>
      <c r="AI112" s="281">
        <f t="shared" si="2"/>
        <v>0</v>
      </c>
      <c r="AJ112" s="284">
        <f>SUM(AJ116:AJ121,AJ113:AJ115)</f>
        <v>13077064</v>
      </c>
      <c r="AK112" s="305">
        <f>SUM(AK116:AK121)</f>
        <v>100000</v>
      </c>
      <c r="AL112" s="284">
        <f>SUM(AL116:AL121)</f>
        <v>0</v>
      </c>
      <c r="AM112" s="306">
        <f>SUM(AM113:AM121)</f>
        <v>0</v>
      </c>
    </row>
    <row r="113" spans="1:40" s="218" customFormat="1" ht="54.75" customHeight="1">
      <c r="A113" s="471"/>
      <c r="B113" s="438" t="s">
        <v>392</v>
      </c>
      <c r="C113" s="626" t="s">
        <v>393</v>
      </c>
      <c r="D113" s="897" t="s">
        <v>274</v>
      </c>
      <c r="E113" s="627" t="s">
        <v>298</v>
      </c>
      <c r="F113" s="628">
        <v>5336890</v>
      </c>
      <c r="G113" s="628">
        <v>347395</v>
      </c>
      <c r="H113" s="629"/>
      <c r="I113" s="630">
        <v>200000</v>
      </c>
      <c r="J113" s="631"/>
      <c r="K113" s="631"/>
      <c r="L113" s="631"/>
      <c r="M113" s="631"/>
      <c r="N113" s="631"/>
      <c r="O113" s="631"/>
      <c r="P113" s="631"/>
      <c r="Q113" s="631"/>
      <c r="R113" s="631"/>
      <c r="S113" s="631"/>
      <c r="T113" s="631"/>
      <c r="U113" s="631"/>
      <c r="V113" s="631"/>
      <c r="W113" s="631"/>
      <c r="X113" s="631"/>
      <c r="Y113" s="631"/>
      <c r="Z113" s="631"/>
      <c r="AA113" s="631"/>
      <c r="AB113" s="631"/>
      <c r="AC113" s="631"/>
      <c r="AD113" s="631"/>
      <c r="AE113" s="631"/>
      <c r="AF113" s="631"/>
      <c r="AG113" s="631"/>
      <c r="AH113" s="631"/>
      <c r="AI113" s="631"/>
      <c r="AJ113" s="426">
        <v>4789495</v>
      </c>
      <c r="AK113" s="426"/>
      <c r="AL113" s="426"/>
      <c r="AM113" s="611"/>
      <c r="AN113" s="219"/>
    </row>
    <row r="114" spans="1:40" s="218" customFormat="1" ht="50.25" customHeight="1">
      <c r="A114" s="471"/>
      <c r="B114" s="388" t="s">
        <v>394</v>
      </c>
      <c r="C114" s="626" t="s">
        <v>395</v>
      </c>
      <c r="D114" s="903"/>
      <c r="E114" s="632" t="s">
        <v>298</v>
      </c>
      <c r="F114" s="299">
        <v>1449665</v>
      </c>
      <c r="G114" s="299">
        <v>61305</v>
      </c>
      <c r="H114" s="300"/>
      <c r="I114" s="633">
        <v>100000</v>
      </c>
      <c r="J114" s="634"/>
      <c r="K114" s="634"/>
      <c r="L114" s="634"/>
      <c r="M114" s="634"/>
      <c r="N114" s="634"/>
      <c r="O114" s="634"/>
      <c r="P114" s="634"/>
      <c r="Q114" s="634"/>
      <c r="R114" s="634"/>
      <c r="S114" s="634"/>
      <c r="T114" s="634"/>
      <c r="U114" s="634"/>
      <c r="V114" s="634"/>
      <c r="W114" s="634"/>
      <c r="X114" s="634"/>
      <c r="Y114" s="634"/>
      <c r="Z114" s="634"/>
      <c r="AA114" s="634"/>
      <c r="AB114" s="634"/>
      <c r="AC114" s="634"/>
      <c r="AD114" s="634"/>
      <c r="AE114" s="634"/>
      <c r="AF114" s="634"/>
      <c r="AG114" s="634"/>
      <c r="AH114" s="634"/>
      <c r="AI114" s="634"/>
      <c r="AJ114" s="302">
        <v>1288380</v>
      </c>
      <c r="AK114" s="302"/>
      <c r="AL114" s="302"/>
      <c r="AM114" s="623"/>
      <c r="AN114" s="219"/>
    </row>
    <row r="115" spans="1:39" s="218" customFormat="1" ht="47.25" customHeight="1">
      <c r="A115" s="471"/>
      <c r="B115" s="388" t="s">
        <v>396</v>
      </c>
      <c r="C115" s="626" t="s">
        <v>395</v>
      </c>
      <c r="D115" s="334" t="s">
        <v>274</v>
      </c>
      <c r="E115" s="632" t="s">
        <v>331</v>
      </c>
      <c r="F115" s="299">
        <v>6800549</v>
      </c>
      <c r="G115" s="299">
        <v>351360</v>
      </c>
      <c r="H115" s="635"/>
      <c r="I115" s="633">
        <v>500000</v>
      </c>
      <c r="J115" s="634"/>
      <c r="K115" s="634"/>
      <c r="L115" s="634"/>
      <c r="M115" s="634"/>
      <c r="N115" s="634"/>
      <c r="O115" s="634"/>
      <c r="P115" s="634"/>
      <c r="Q115" s="634"/>
      <c r="R115" s="634"/>
      <c r="S115" s="634"/>
      <c r="T115" s="634"/>
      <c r="U115" s="634"/>
      <c r="V115" s="634"/>
      <c r="W115" s="634"/>
      <c r="X115" s="634"/>
      <c r="Y115" s="634"/>
      <c r="Z115" s="634"/>
      <c r="AA115" s="634"/>
      <c r="AB115" s="634"/>
      <c r="AC115" s="634"/>
      <c r="AD115" s="634"/>
      <c r="AE115" s="634"/>
      <c r="AF115" s="634"/>
      <c r="AG115" s="634"/>
      <c r="AH115" s="634"/>
      <c r="AI115" s="634"/>
      <c r="AJ115" s="301">
        <v>5949189</v>
      </c>
      <c r="AK115" s="441"/>
      <c r="AL115" s="441"/>
      <c r="AM115" s="636"/>
    </row>
    <row r="116" spans="1:39" s="218" customFormat="1" ht="25.5" customHeight="1">
      <c r="A116" s="637"/>
      <c r="B116" s="309" t="s">
        <v>313</v>
      </c>
      <c r="C116" s="309" t="s">
        <v>314</v>
      </c>
      <c r="D116" s="614" t="s">
        <v>274</v>
      </c>
      <c r="E116" s="391" t="s">
        <v>301</v>
      </c>
      <c r="F116" s="429"/>
      <c r="G116" s="429"/>
      <c r="H116" s="624"/>
      <c r="I116" s="339">
        <v>50000</v>
      </c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V116" s="350"/>
      <c r="W116" s="350"/>
      <c r="X116" s="350"/>
      <c r="Y116" s="350"/>
      <c r="Z116" s="350"/>
      <c r="AA116" s="350"/>
      <c r="AB116" s="350"/>
      <c r="AC116" s="350"/>
      <c r="AD116" s="350"/>
      <c r="AE116" s="350"/>
      <c r="AF116" s="350"/>
      <c r="AG116" s="350"/>
      <c r="AH116" s="350"/>
      <c r="AI116" s="350"/>
      <c r="AJ116" s="313">
        <v>50000</v>
      </c>
      <c r="AK116" s="339">
        <v>100000</v>
      </c>
      <c r="AL116" s="313"/>
      <c r="AM116" s="345"/>
    </row>
    <row r="117" spans="1:39" s="218" customFormat="1" ht="12.75">
      <c r="A117" s="638"/>
      <c r="B117" s="901" t="s">
        <v>397</v>
      </c>
      <c r="C117" s="901" t="s">
        <v>398</v>
      </c>
      <c r="D117" s="926" t="s">
        <v>309</v>
      </c>
      <c r="E117" s="391" t="s">
        <v>281</v>
      </c>
      <c r="F117" s="429">
        <v>11934654</v>
      </c>
      <c r="G117" s="429">
        <f>SUM(G118:G119)</f>
        <v>4216053</v>
      </c>
      <c r="H117" s="624">
        <v>5821102</v>
      </c>
      <c r="I117" s="339">
        <f>SUM(I118:I119)</f>
        <v>7718601</v>
      </c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  <c r="U117" s="350"/>
      <c r="V117" s="350"/>
      <c r="W117" s="350"/>
      <c r="X117" s="350"/>
      <c r="Y117" s="350"/>
      <c r="Z117" s="350"/>
      <c r="AA117" s="350"/>
      <c r="AB117" s="350"/>
      <c r="AC117" s="350"/>
      <c r="AD117" s="350"/>
      <c r="AE117" s="350"/>
      <c r="AF117" s="350"/>
      <c r="AG117" s="350"/>
      <c r="AH117" s="350"/>
      <c r="AI117" s="350"/>
      <c r="AJ117" s="313"/>
      <c r="AK117" s="339"/>
      <c r="AL117" s="313"/>
      <c r="AM117" s="345"/>
    </row>
    <row r="118" spans="1:40" s="218" customFormat="1" ht="20.25" customHeight="1">
      <c r="A118" s="638"/>
      <c r="B118" s="913"/>
      <c r="C118" s="913"/>
      <c r="D118" s="917"/>
      <c r="E118" s="476" t="s">
        <v>282</v>
      </c>
      <c r="F118" s="371">
        <v>5967328</v>
      </c>
      <c r="G118" s="371">
        <v>2108027</v>
      </c>
      <c r="H118" s="372">
        <v>2910552</v>
      </c>
      <c r="I118" s="344">
        <v>3859301</v>
      </c>
      <c r="J118" s="381"/>
      <c r="K118" s="381"/>
      <c r="L118" s="381"/>
      <c r="M118" s="381"/>
      <c r="N118" s="381"/>
      <c r="O118" s="381"/>
      <c r="P118" s="381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  <c r="AB118" s="381"/>
      <c r="AC118" s="381"/>
      <c r="AD118" s="381"/>
      <c r="AE118" s="381"/>
      <c r="AF118" s="381"/>
      <c r="AG118" s="381"/>
      <c r="AH118" s="381"/>
      <c r="AI118" s="381"/>
      <c r="AJ118" s="382"/>
      <c r="AK118" s="339"/>
      <c r="AL118" s="313"/>
      <c r="AM118" s="345"/>
      <c r="AN118" s="219"/>
    </row>
    <row r="119" spans="1:40" s="218" customFormat="1" ht="21" customHeight="1">
      <c r="A119" s="639"/>
      <c r="B119" s="914"/>
      <c r="C119" s="914"/>
      <c r="D119" s="927"/>
      <c r="E119" s="476" t="s">
        <v>399</v>
      </c>
      <c r="F119" s="377">
        <v>5967326</v>
      </c>
      <c r="G119" s="377">
        <v>2108026</v>
      </c>
      <c r="H119" s="378">
        <v>2910550</v>
      </c>
      <c r="I119" s="349">
        <v>3859300</v>
      </c>
      <c r="J119" s="381"/>
      <c r="K119" s="381"/>
      <c r="L119" s="381"/>
      <c r="M119" s="381"/>
      <c r="N119" s="381"/>
      <c r="O119" s="381"/>
      <c r="P119" s="381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  <c r="AB119" s="381"/>
      <c r="AC119" s="381"/>
      <c r="AD119" s="381"/>
      <c r="AE119" s="381"/>
      <c r="AF119" s="381"/>
      <c r="AG119" s="381"/>
      <c r="AH119" s="381"/>
      <c r="AI119" s="381"/>
      <c r="AJ119" s="382"/>
      <c r="AK119" s="339"/>
      <c r="AL119" s="313"/>
      <c r="AM119" s="345"/>
      <c r="AN119" s="219"/>
    </row>
    <row r="120" spans="1:40" s="218" customFormat="1" ht="32.25" customHeight="1">
      <c r="A120" s="640"/>
      <c r="B120" s="641" t="s">
        <v>397</v>
      </c>
      <c r="C120" s="309" t="s">
        <v>398</v>
      </c>
      <c r="D120" s="614" t="s">
        <v>154</v>
      </c>
      <c r="E120" s="642"/>
      <c r="F120" s="311">
        <v>1427564</v>
      </c>
      <c r="G120" s="429">
        <v>776113</v>
      </c>
      <c r="H120" s="698">
        <v>888855</v>
      </c>
      <c r="I120" s="339">
        <v>651451</v>
      </c>
      <c r="J120" s="440"/>
      <c r="K120" s="440"/>
      <c r="L120" s="440"/>
      <c r="M120" s="440"/>
      <c r="N120" s="440"/>
      <c r="O120" s="440"/>
      <c r="P120" s="440"/>
      <c r="Q120" s="440"/>
      <c r="R120" s="440"/>
      <c r="S120" s="440"/>
      <c r="T120" s="440"/>
      <c r="U120" s="440"/>
      <c r="V120" s="440"/>
      <c r="W120" s="440"/>
      <c r="X120" s="440"/>
      <c r="Y120" s="440"/>
      <c r="Z120" s="440"/>
      <c r="AA120" s="440"/>
      <c r="AB120" s="440"/>
      <c r="AC120" s="440"/>
      <c r="AD120" s="440"/>
      <c r="AE120" s="440"/>
      <c r="AF120" s="440"/>
      <c r="AG120" s="440"/>
      <c r="AH120" s="440"/>
      <c r="AI120" s="440"/>
      <c r="AJ120" s="313"/>
      <c r="AK120" s="339"/>
      <c r="AL120" s="313"/>
      <c r="AM120" s="345"/>
      <c r="AN120" s="219"/>
    </row>
    <row r="121" spans="1:39" s="218" customFormat="1" ht="45" customHeight="1" thickBot="1">
      <c r="A121" s="643"/>
      <c r="B121" s="388" t="s">
        <v>418</v>
      </c>
      <c r="C121" s="388" t="s">
        <v>315</v>
      </c>
      <c r="D121" s="298" t="s">
        <v>274</v>
      </c>
      <c r="E121" s="539"/>
      <c r="F121" s="452"/>
      <c r="G121" s="452"/>
      <c r="H121" s="453"/>
      <c r="I121" s="448">
        <v>500000</v>
      </c>
      <c r="J121" s="350"/>
      <c r="K121" s="350"/>
      <c r="L121" s="350"/>
      <c r="M121" s="350"/>
      <c r="N121" s="350"/>
      <c r="O121" s="350"/>
      <c r="P121" s="350"/>
      <c r="Q121" s="350"/>
      <c r="R121" s="350"/>
      <c r="S121" s="350"/>
      <c r="T121" s="350"/>
      <c r="U121" s="350"/>
      <c r="V121" s="350"/>
      <c r="W121" s="350"/>
      <c r="X121" s="350"/>
      <c r="Y121" s="350"/>
      <c r="Z121" s="350"/>
      <c r="AA121" s="350"/>
      <c r="AB121" s="350"/>
      <c r="AC121" s="350"/>
      <c r="AD121" s="350"/>
      <c r="AE121" s="350"/>
      <c r="AF121" s="350"/>
      <c r="AG121" s="350"/>
      <c r="AH121" s="350"/>
      <c r="AI121" s="350"/>
      <c r="AJ121" s="449">
        <v>1000000</v>
      </c>
      <c r="AK121" s="448"/>
      <c r="AL121" s="449"/>
      <c r="AM121" s="450"/>
    </row>
    <row r="122" spans="1:39" s="218" customFormat="1" ht="21.75" customHeight="1" thickBot="1">
      <c r="A122" s="644" t="s">
        <v>400</v>
      </c>
      <c r="B122" s="924" t="s">
        <v>401</v>
      </c>
      <c r="C122" s="924"/>
      <c r="D122" s="645"/>
      <c r="E122" s="645"/>
      <c r="F122" s="645"/>
      <c r="G122" s="645"/>
      <c r="H122" s="646"/>
      <c r="I122" s="523">
        <f>SUM(I125,I123)</f>
        <v>7091556</v>
      </c>
      <c r="J122" s="304"/>
      <c r="K122" s="304"/>
      <c r="L122" s="304"/>
      <c r="M122" s="304"/>
      <c r="N122" s="304"/>
      <c r="O122" s="304"/>
      <c r="P122" s="304"/>
      <c r="Q122" s="304"/>
      <c r="R122" s="304"/>
      <c r="S122" s="304"/>
      <c r="T122" s="304"/>
      <c r="U122" s="304"/>
      <c r="V122" s="304"/>
      <c r="W122" s="304"/>
      <c r="X122" s="304"/>
      <c r="Y122" s="304"/>
      <c r="Z122" s="304"/>
      <c r="AA122" s="304"/>
      <c r="AB122" s="304"/>
      <c r="AC122" s="304"/>
      <c r="AD122" s="304"/>
      <c r="AE122" s="304"/>
      <c r="AF122" s="304"/>
      <c r="AG122" s="304"/>
      <c r="AH122" s="304"/>
      <c r="AI122" s="304"/>
      <c r="AJ122" s="274">
        <f>SUM(AJ125,AJ123)</f>
        <v>3847852</v>
      </c>
      <c r="AK122" s="273">
        <f>SUM(AK123,AK125)</f>
        <v>0</v>
      </c>
      <c r="AL122" s="274">
        <f>SUM(AL123,AL125)</f>
        <v>0</v>
      </c>
      <c r="AM122" s="275">
        <f>SUM(AM125,AM123)</f>
        <v>0</v>
      </c>
    </row>
    <row r="123" spans="1:39" s="218" customFormat="1" ht="18" customHeight="1" thickBot="1">
      <c r="A123" s="605"/>
      <c r="B123" s="909" t="s">
        <v>402</v>
      </c>
      <c r="C123" s="909"/>
      <c r="D123" s="279"/>
      <c r="E123" s="279"/>
      <c r="F123" s="279"/>
      <c r="G123" s="279"/>
      <c r="H123" s="282"/>
      <c r="I123" s="620">
        <f>SUM(I124)</f>
        <v>6991556</v>
      </c>
      <c r="J123" s="647"/>
      <c r="K123" s="647"/>
      <c r="L123" s="647"/>
      <c r="M123" s="647"/>
      <c r="N123" s="647"/>
      <c r="O123" s="647"/>
      <c r="P123" s="647"/>
      <c r="Q123" s="647"/>
      <c r="R123" s="647"/>
      <c r="S123" s="647"/>
      <c r="T123" s="647"/>
      <c r="U123" s="647"/>
      <c r="V123" s="647"/>
      <c r="W123" s="647"/>
      <c r="X123" s="647"/>
      <c r="Y123" s="647"/>
      <c r="Z123" s="647"/>
      <c r="AA123" s="647"/>
      <c r="AB123" s="647"/>
      <c r="AC123" s="647"/>
      <c r="AD123" s="647"/>
      <c r="AE123" s="647"/>
      <c r="AF123" s="647"/>
      <c r="AG123" s="647"/>
      <c r="AH123" s="647"/>
      <c r="AI123" s="647"/>
      <c r="AJ123" s="286">
        <f>SUM(AJ124)</f>
        <v>2447852</v>
      </c>
      <c r="AK123" s="305">
        <v>0</v>
      </c>
      <c r="AL123" s="284">
        <v>0</v>
      </c>
      <c r="AM123" s="306">
        <f>SUM(AM124)</f>
        <v>0</v>
      </c>
    </row>
    <row r="124" spans="1:39" s="218" customFormat="1" ht="30.75" customHeight="1" thickBot="1">
      <c r="A124" s="648"/>
      <c r="B124" s="649" t="s">
        <v>403</v>
      </c>
      <c r="C124" s="649" t="s">
        <v>404</v>
      </c>
      <c r="D124" s="298" t="s">
        <v>405</v>
      </c>
      <c r="E124" s="447" t="s">
        <v>298</v>
      </c>
      <c r="F124" s="650">
        <f>SUM(H124:AJ124)</f>
        <v>11843004</v>
      </c>
      <c r="G124" s="617">
        <v>2403596</v>
      </c>
      <c r="H124" s="651">
        <v>2403596</v>
      </c>
      <c r="I124" s="617">
        <v>6991556</v>
      </c>
      <c r="J124" s="652"/>
      <c r="K124" s="652"/>
      <c r="L124" s="652"/>
      <c r="M124" s="652"/>
      <c r="N124" s="652"/>
      <c r="O124" s="652"/>
      <c r="P124" s="652"/>
      <c r="Q124" s="652"/>
      <c r="R124" s="652"/>
      <c r="S124" s="652"/>
      <c r="T124" s="652"/>
      <c r="U124" s="652"/>
      <c r="V124" s="652"/>
      <c r="W124" s="652"/>
      <c r="X124" s="652"/>
      <c r="Y124" s="652"/>
      <c r="Z124" s="652"/>
      <c r="AA124" s="652"/>
      <c r="AB124" s="652"/>
      <c r="AC124" s="652"/>
      <c r="AD124" s="652"/>
      <c r="AE124" s="652"/>
      <c r="AF124" s="652"/>
      <c r="AG124" s="652"/>
      <c r="AH124" s="652"/>
      <c r="AI124" s="652"/>
      <c r="AJ124" s="618">
        <v>2447852</v>
      </c>
      <c r="AK124" s="519"/>
      <c r="AL124" s="520"/>
      <c r="AM124" s="521"/>
    </row>
    <row r="125" spans="1:39" s="218" customFormat="1" ht="18.75" customHeight="1" thickBot="1">
      <c r="A125" s="459"/>
      <c r="B125" s="909" t="s">
        <v>406</v>
      </c>
      <c r="C125" s="909"/>
      <c r="D125" s="583"/>
      <c r="E125" s="583"/>
      <c r="F125" s="437"/>
      <c r="G125" s="437"/>
      <c r="H125" s="436"/>
      <c r="I125" s="305">
        <f>SUM(I126)</f>
        <v>100000</v>
      </c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  <c r="V125" s="233"/>
      <c r="W125" s="233"/>
      <c r="X125" s="233"/>
      <c r="Y125" s="233"/>
      <c r="Z125" s="233"/>
      <c r="AA125" s="233"/>
      <c r="AB125" s="233"/>
      <c r="AC125" s="233"/>
      <c r="AD125" s="233"/>
      <c r="AE125" s="233"/>
      <c r="AF125" s="233"/>
      <c r="AG125" s="233"/>
      <c r="AH125" s="233"/>
      <c r="AI125" s="233"/>
      <c r="AJ125" s="284">
        <f>SUM(AJ126)</f>
        <v>1400000</v>
      </c>
      <c r="AK125" s="305">
        <v>0</v>
      </c>
      <c r="AL125" s="284">
        <v>0</v>
      </c>
      <c r="AM125" s="306">
        <f>SUM(AM126)</f>
        <v>0</v>
      </c>
    </row>
    <row r="126" spans="1:39" s="218" customFormat="1" ht="30.75" customHeight="1" thickBot="1">
      <c r="A126" s="435"/>
      <c r="B126" s="297" t="s">
        <v>407</v>
      </c>
      <c r="C126" s="297" t="s">
        <v>408</v>
      </c>
      <c r="D126" s="289" t="s">
        <v>274</v>
      </c>
      <c r="E126" s="524" t="s">
        <v>268</v>
      </c>
      <c r="F126" s="452">
        <v>1500000</v>
      </c>
      <c r="G126" s="452"/>
      <c r="H126" s="453">
        <v>1000000</v>
      </c>
      <c r="I126" s="301">
        <v>100000</v>
      </c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  <c r="V126" s="233"/>
      <c r="W126" s="233"/>
      <c r="X126" s="233"/>
      <c r="Y126" s="233"/>
      <c r="Z126" s="233"/>
      <c r="AA126" s="233"/>
      <c r="AB126" s="233"/>
      <c r="AC126" s="233"/>
      <c r="AD126" s="233"/>
      <c r="AE126" s="233"/>
      <c r="AF126" s="233"/>
      <c r="AG126" s="233"/>
      <c r="AH126" s="233"/>
      <c r="AI126" s="233"/>
      <c r="AJ126" s="315">
        <v>1400000</v>
      </c>
      <c r="AK126" s="314"/>
      <c r="AL126" s="315"/>
      <c r="AM126" s="653"/>
    </row>
    <row r="127" spans="1:39" s="218" customFormat="1" ht="21.75" customHeight="1" thickBot="1">
      <c r="A127" s="644" t="s">
        <v>409</v>
      </c>
      <c r="B127" s="522" t="s">
        <v>410</v>
      </c>
      <c r="C127" s="522"/>
      <c r="D127" s="267"/>
      <c r="E127" s="267"/>
      <c r="F127" s="268"/>
      <c r="G127" s="268"/>
      <c r="H127" s="270"/>
      <c r="I127" s="271">
        <f>SUM(I128:I132)</f>
        <v>13350000</v>
      </c>
      <c r="J127" s="304"/>
      <c r="K127" s="304"/>
      <c r="L127" s="304"/>
      <c r="M127" s="304"/>
      <c r="N127" s="304"/>
      <c r="O127" s="304"/>
      <c r="P127" s="304"/>
      <c r="Q127" s="304"/>
      <c r="R127" s="304"/>
      <c r="S127" s="304"/>
      <c r="T127" s="304"/>
      <c r="U127" s="304"/>
      <c r="V127" s="304"/>
      <c r="W127" s="304"/>
      <c r="X127" s="304"/>
      <c r="Y127" s="304"/>
      <c r="Z127" s="304"/>
      <c r="AA127" s="304"/>
      <c r="AB127" s="304"/>
      <c r="AC127" s="304"/>
      <c r="AD127" s="304"/>
      <c r="AE127" s="304"/>
      <c r="AF127" s="304"/>
      <c r="AG127" s="304"/>
      <c r="AH127" s="304"/>
      <c r="AI127" s="304"/>
      <c r="AJ127" s="274">
        <f>SUM(AJ128:AJ132)</f>
        <v>800000</v>
      </c>
      <c r="AK127" s="273">
        <f>SUM(AK128:AK132)</f>
        <v>100000</v>
      </c>
      <c r="AL127" s="274">
        <f>SUM(AL128:AL132)</f>
        <v>0</v>
      </c>
      <c r="AM127" s="275">
        <f>SUM(AM128:AM132)</f>
        <v>0</v>
      </c>
    </row>
    <row r="128" spans="1:39" s="218" customFormat="1" ht="22.5" customHeight="1">
      <c r="A128" s="435"/>
      <c r="B128" s="288" t="s">
        <v>411</v>
      </c>
      <c r="C128" s="654" t="s">
        <v>412</v>
      </c>
      <c r="D128" s="950" t="s">
        <v>161</v>
      </c>
      <c r="E128" s="359" t="s">
        <v>281</v>
      </c>
      <c r="F128" s="433">
        <v>85000000</v>
      </c>
      <c r="G128" s="433">
        <v>74000000</v>
      </c>
      <c r="H128" s="434">
        <v>74000000</v>
      </c>
      <c r="I128" s="321">
        <v>11000000</v>
      </c>
      <c r="J128" s="338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  <c r="V128" s="233"/>
      <c r="W128" s="233"/>
      <c r="X128" s="233"/>
      <c r="Y128" s="233"/>
      <c r="Z128" s="233"/>
      <c r="AA128" s="233"/>
      <c r="AB128" s="233"/>
      <c r="AC128" s="233"/>
      <c r="AD128" s="233"/>
      <c r="AE128" s="233"/>
      <c r="AF128" s="233"/>
      <c r="AG128" s="233"/>
      <c r="AH128" s="233"/>
      <c r="AI128" s="233"/>
      <c r="AJ128" s="313"/>
      <c r="AK128" s="314"/>
      <c r="AL128" s="315"/>
      <c r="AM128" s="316"/>
    </row>
    <row r="129" spans="1:39" s="218" customFormat="1" ht="22.5" customHeight="1">
      <c r="A129" s="435"/>
      <c r="B129" s="288" t="s">
        <v>413</v>
      </c>
      <c r="C129" s="386" t="s">
        <v>326</v>
      </c>
      <c r="D129" s="951"/>
      <c r="E129" s="359" t="s">
        <v>268</v>
      </c>
      <c r="F129" s="433">
        <v>1200000</v>
      </c>
      <c r="G129" s="433"/>
      <c r="H129" s="434"/>
      <c r="I129" s="339">
        <v>1000000</v>
      </c>
      <c r="J129" s="338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3"/>
      <c r="AF129" s="233"/>
      <c r="AG129" s="233"/>
      <c r="AH129" s="233"/>
      <c r="AI129" s="233"/>
      <c r="AJ129" s="526">
        <v>200000</v>
      </c>
      <c r="AK129" s="321"/>
      <c r="AL129" s="322"/>
      <c r="AM129" s="323"/>
    </row>
    <row r="130" spans="1:39" s="218" customFormat="1" ht="22.5" customHeight="1">
      <c r="A130" s="435"/>
      <c r="B130" s="288" t="s">
        <v>414</v>
      </c>
      <c r="C130" s="655" t="s">
        <v>412</v>
      </c>
      <c r="D130" s="952"/>
      <c r="E130" s="359" t="s">
        <v>268</v>
      </c>
      <c r="F130" s="433">
        <v>1000000</v>
      </c>
      <c r="G130" s="433"/>
      <c r="H130" s="434"/>
      <c r="I130" s="339">
        <v>500000</v>
      </c>
      <c r="J130" s="338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233"/>
      <c r="AE130" s="233"/>
      <c r="AF130" s="233"/>
      <c r="AG130" s="233"/>
      <c r="AH130" s="233"/>
      <c r="AI130" s="233"/>
      <c r="AJ130" s="526">
        <v>500000</v>
      </c>
      <c r="AK130" s="321"/>
      <c r="AL130" s="322"/>
      <c r="AM130" s="323"/>
    </row>
    <row r="131" spans="1:39" ht="21.75" customHeight="1">
      <c r="A131" s="656"/>
      <c r="B131" s="366" t="s">
        <v>415</v>
      </c>
      <c r="C131" s="655" t="s">
        <v>412</v>
      </c>
      <c r="D131" s="917" t="s">
        <v>274</v>
      </c>
      <c r="E131" s="359" t="s">
        <v>287</v>
      </c>
      <c r="F131" s="433">
        <v>950000</v>
      </c>
      <c r="G131" s="433">
        <v>100000</v>
      </c>
      <c r="H131" s="434">
        <v>200000</v>
      </c>
      <c r="I131" s="327">
        <v>850000</v>
      </c>
      <c r="J131" s="657"/>
      <c r="K131" s="657"/>
      <c r="L131" s="657"/>
      <c r="M131" s="657"/>
      <c r="N131" s="657"/>
      <c r="O131" s="657"/>
      <c r="P131" s="657"/>
      <c r="Q131" s="657"/>
      <c r="R131" s="657"/>
      <c r="S131" s="657"/>
      <c r="T131" s="657"/>
      <c r="U131" s="657"/>
      <c r="V131" s="657"/>
      <c r="W131" s="657"/>
      <c r="X131" s="657"/>
      <c r="Y131" s="657"/>
      <c r="Z131" s="657"/>
      <c r="AA131" s="657"/>
      <c r="AB131" s="657"/>
      <c r="AC131" s="657"/>
      <c r="AD131" s="657"/>
      <c r="AE131" s="657"/>
      <c r="AF131" s="657"/>
      <c r="AG131" s="657"/>
      <c r="AH131" s="657"/>
      <c r="AI131" s="657"/>
      <c r="AJ131" s="658"/>
      <c r="AK131" s="659"/>
      <c r="AL131" s="660"/>
      <c r="AM131" s="661"/>
    </row>
    <row r="132" spans="1:39" ht="21" customHeight="1" thickBot="1">
      <c r="A132" s="662"/>
      <c r="B132" s="663" t="s">
        <v>303</v>
      </c>
      <c r="C132" s="663" t="s">
        <v>315</v>
      </c>
      <c r="D132" s="918"/>
      <c r="E132" s="664"/>
      <c r="F132" s="665"/>
      <c r="G132" s="665"/>
      <c r="H132" s="666"/>
      <c r="I132" s="667"/>
      <c r="J132" s="657"/>
      <c r="K132" s="657"/>
      <c r="L132" s="657"/>
      <c r="M132" s="657"/>
      <c r="N132" s="657"/>
      <c r="O132" s="657"/>
      <c r="P132" s="657"/>
      <c r="Q132" s="657"/>
      <c r="R132" s="657"/>
      <c r="S132" s="657"/>
      <c r="T132" s="657"/>
      <c r="U132" s="657"/>
      <c r="V132" s="657"/>
      <c r="W132" s="657"/>
      <c r="X132" s="657"/>
      <c r="Y132" s="657"/>
      <c r="Z132" s="657"/>
      <c r="AA132" s="657"/>
      <c r="AB132" s="657"/>
      <c r="AC132" s="657"/>
      <c r="AD132" s="657"/>
      <c r="AE132" s="657"/>
      <c r="AF132" s="657"/>
      <c r="AG132" s="657"/>
      <c r="AH132" s="657"/>
      <c r="AI132" s="657"/>
      <c r="AJ132" s="668">
        <v>100000</v>
      </c>
      <c r="AK132" s="669">
        <v>100000</v>
      </c>
      <c r="AL132" s="668"/>
      <c r="AM132" s="670"/>
    </row>
    <row r="133" spans="1:36" ht="14.25" customHeight="1" thickTop="1">
      <c r="A133" s="671"/>
      <c r="B133" s="401"/>
      <c r="C133" s="401"/>
      <c r="D133" s="350"/>
      <c r="E133" s="350"/>
      <c r="F133" s="361"/>
      <c r="G133" s="361"/>
      <c r="H133" s="672"/>
      <c r="I133" s="360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673"/>
    </row>
    <row r="134" spans="1:10" s="679" customFormat="1" ht="18">
      <c r="A134" s="674"/>
      <c r="B134" s="293"/>
      <c r="C134" s="675"/>
      <c r="D134" s="676"/>
      <c r="E134" s="675"/>
      <c r="F134" s="675"/>
      <c r="G134" s="675"/>
      <c r="H134" s="677"/>
      <c r="I134" s="675"/>
      <c r="J134" s="678"/>
    </row>
    <row r="135" spans="1:36" ht="14.25" customHeight="1">
      <c r="A135" s="671"/>
      <c r="B135" s="401"/>
      <c r="C135" s="401"/>
      <c r="D135" s="350"/>
      <c r="E135" s="350"/>
      <c r="F135" s="361"/>
      <c r="G135" s="361"/>
      <c r="H135" s="672"/>
      <c r="I135" s="360"/>
      <c r="J135" s="657"/>
      <c r="K135" s="657"/>
      <c r="L135" s="657"/>
      <c r="M135" s="657"/>
      <c r="N135" s="657"/>
      <c r="O135" s="657"/>
      <c r="P135" s="657"/>
      <c r="Q135" s="657"/>
      <c r="R135" s="657"/>
      <c r="S135" s="657"/>
      <c r="T135" s="657"/>
      <c r="U135" s="657"/>
      <c r="V135" s="657"/>
      <c r="W135" s="657"/>
      <c r="X135" s="657"/>
      <c r="Y135" s="657"/>
      <c r="Z135" s="657"/>
      <c r="AA135" s="657"/>
      <c r="AB135" s="657"/>
      <c r="AC135" s="657"/>
      <c r="AD135" s="657"/>
      <c r="AE135" s="657"/>
      <c r="AF135" s="657"/>
      <c r="AG135" s="657"/>
      <c r="AH135" s="657"/>
      <c r="AI135" s="657"/>
      <c r="AJ135" s="673"/>
    </row>
    <row r="136" spans="1:9" ht="12.75" customHeight="1">
      <c r="A136" s="680"/>
      <c r="B136" s="681"/>
      <c r="C136" s="233"/>
      <c r="D136" s="682"/>
      <c r="E136" s="682"/>
      <c r="F136" s="682"/>
      <c r="G136" s="683"/>
      <c r="H136" s="684"/>
      <c r="I136" s="657"/>
    </row>
    <row r="137" ht="14.25" customHeight="1"/>
    <row r="138" ht="14.25" customHeight="1"/>
  </sheetData>
  <mergeCells count="72">
    <mergeCell ref="D43:D47"/>
    <mergeCell ref="D34:D39"/>
    <mergeCell ref="D19:D33"/>
    <mergeCell ref="E11:E12"/>
    <mergeCell ref="D11:D12"/>
    <mergeCell ref="AL11:AL12"/>
    <mergeCell ref="AJ11:AJ12"/>
    <mergeCell ref="J11:J12"/>
    <mergeCell ref="I11:I12"/>
    <mergeCell ref="B19:B22"/>
    <mergeCell ref="C19:C22"/>
    <mergeCell ref="C31:C33"/>
    <mergeCell ref="AK11:AK12"/>
    <mergeCell ref="H11:H12"/>
    <mergeCell ref="D128:D130"/>
    <mergeCell ref="B117:B119"/>
    <mergeCell ref="C117:C119"/>
    <mergeCell ref="D109:D111"/>
    <mergeCell ref="AM11:AM12"/>
    <mergeCell ref="B98:B100"/>
    <mergeCell ref="B63:B65"/>
    <mergeCell ref="B108:C108"/>
    <mergeCell ref="B70:C70"/>
    <mergeCell ref="B93:F93"/>
    <mergeCell ref="B86:C86"/>
    <mergeCell ref="G11:G12"/>
    <mergeCell ref="D15:D17"/>
    <mergeCell ref="F11:F12"/>
    <mergeCell ref="C98:C100"/>
    <mergeCell ref="D117:D119"/>
    <mergeCell ref="B11:B12"/>
    <mergeCell ref="C4:C5"/>
    <mergeCell ref="A8:E8"/>
    <mergeCell ref="C11:C12"/>
    <mergeCell ref="A11:A12"/>
    <mergeCell ref="D74:D76"/>
    <mergeCell ref="D80:D83"/>
    <mergeCell ref="B18:G18"/>
    <mergeCell ref="B53:C53"/>
    <mergeCell ref="B49:C49"/>
    <mergeCell ref="D131:D132"/>
    <mergeCell ref="B90:D90"/>
    <mergeCell ref="B89:C89"/>
    <mergeCell ref="B125:C125"/>
    <mergeCell ref="D91:D92"/>
    <mergeCell ref="B123:C123"/>
    <mergeCell ref="B122:C122"/>
    <mergeCell ref="D113:D114"/>
    <mergeCell ref="B41:C41"/>
    <mergeCell ref="B27:B30"/>
    <mergeCell ref="C27:C30"/>
    <mergeCell ref="B31:B33"/>
    <mergeCell ref="B69:E69"/>
    <mergeCell ref="D58:D65"/>
    <mergeCell ref="D50:D51"/>
    <mergeCell ref="B67:C67"/>
    <mergeCell ref="B59:B62"/>
    <mergeCell ref="C59:C62"/>
    <mergeCell ref="C63:C65"/>
    <mergeCell ref="B57:C57"/>
    <mergeCell ref="D55:D56"/>
    <mergeCell ref="B54:C54"/>
    <mergeCell ref="I4:AK4"/>
    <mergeCell ref="AL4:AM4"/>
    <mergeCell ref="A2:AK2"/>
    <mergeCell ref="A7:C7"/>
    <mergeCell ref="G4:G5"/>
    <mergeCell ref="F4:F5"/>
    <mergeCell ref="E4:E5"/>
    <mergeCell ref="D4:D5"/>
    <mergeCell ref="B4:B5"/>
    <mergeCell ref="A4:A5"/>
  </mergeCells>
  <printOptions/>
  <pageMargins left="0.2755905511811024" right="0.15748031496062992" top="0.2755905511811024" bottom="0.5511811023622047" header="0.2362204724409449" footer="0.11811023622047245"/>
  <pageSetup horizontalDpi="600" verticalDpi="600" orientation="landscape" paperSize="9" scale="96" r:id="rId1"/>
  <headerFooter alignWithMargins="0">
    <oddFooter>&amp;C&amp;8&amp;P&amp;10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Alicja Helbin</cp:lastModifiedBy>
  <cp:lastPrinted>2010-12-20T13:28:08Z</cp:lastPrinted>
  <dcterms:created xsi:type="dcterms:W3CDTF">2010-11-15T08:09:58Z</dcterms:created>
  <dcterms:modified xsi:type="dcterms:W3CDTF">2011-01-20T13:07:52Z</dcterms:modified>
  <cp:category/>
  <cp:version/>
  <cp:contentType/>
  <cp:contentStatus/>
</cp:coreProperties>
</file>