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8150" windowHeight="12270" activeTab="3"/>
  </bookViews>
  <sheets>
    <sheet name="gmina" sheetId="1" r:id="rId1"/>
    <sheet name="powiat" sheetId="2" r:id="rId2"/>
    <sheet name="przedszkola" sheetId="3" r:id="rId3"/>
    <sheet name="przedszkola 80148" sheetId="4" r:id="rId4"/>
  </sheets>
  <definedNames>
    <definedName name="_xlnm.Print_Titles" localSheetId="0">'gmina'!$A:$A,'gmina'!$4:$4</definedName>
    <definedName name="_xlnm.Print_Titles" localSheetId="1">'powiat'!$A:$A,'powiat'!$2:$2</definedName>
    <definedName name="_xlnm.Print_Titles" localSheetId="2">'przedszkola'!$A:$A,'przedszkola'!$3:$3</definedName>
  </definedNames>
  <calcPr fullCalcOnLoad="1"/>
</workbook>
</file>

<file path=xl/sharedStrings.xml><?xml version="1.0" encoding="utf-8"?>
<sst xmlns="http://schemas.openxmlformats.org/spreadsheetml/2006/main" count="520" uniqueCount="246">
  <si>
    <t>liczba uczniów</t>
  </si>
  <si>
    <t>§ 3020</t>
  </si>
  <si>
    <t>fundusz zdrowotny § 3020</t>
  </si>
  <si>
    <t>§ 4010</t>
  </si>
  <si>
    <t>§ 401 bez niepeiodycznych</t>
  </si>
  <si>
    <t>§ 4040</t>
  </si>
  <si>
    <t>§ 4110</t>
  </si>
  <si>
    <t>§ 4120</t>
  </si>
  <si>
    <t>§ 4140</t>
  </si>
  <si>
    <t>§ 4170</t>
  </si>
  <si>
    <t>§ 4210</t>
  </si>
  <si>
    <t>§ 4220</t>
  </si>
  <si>
    <t>§ 4240</t>
  </si>
  <si>
    <t>§ 4260</t>
  </si>
  <si>
    <t>§ 4270</t>
  </si>
  <si>
    <t>§ 4280</t>
  </si>
  <si>
    <t>§ 4300</t>
  </si>
  <si>
    <t>§ 4350</t>
  </si>
  <si>
    <t>§ 4360</t>
  </si>
  <si>
    <t>§4370</t>
  </si>
  <si>
    <t>§ 4400</t>
  </si>
  <si>
    <t>§ 4410</t>
  </si>
  <si>
    <t>§ 4430</t>
  </si>
  <si>
    <t>§ 4440</t>
  </si>
  <si>
    <t>§ 4700</t>
  </si>
  <si>
    <t>§ 6050</t>
  </si>
  <si>
    <t>§ 6060</t>
  </si>
  <si>
    <t>razem wydatki rzeczowe</t>
  </si>
  <si>
    <t>Razem wydatki</t>
  </si>
  <si>
    <t>planowany średni koszt na 1 ucznia</t>
  </si>
  <si>
    <t>DZIAŁ 801</t>
  </si>
  <si>
    <t>Zespół Szkół Ogólnokszt. Nr 6</t>
  </si>
  <si>
    <t>Zespół Szkół Specjalnych Nr 17</t>
  </si>
  <si>
    <t>Ośrodek Szkolno-Wych Nr 1</t>
  </si>
  <si>
    <t>Szkoły Podstaw.Specj.                     80102</t>
  </si>
  <si>
    <t>Przedszkole Specjalne        80105</t>
  </si>
  <si>
    <t>Gimnazja Specjalne                         80111</t>
  </si>
  <si>
    <t>I Akademickie Liceum Ogólnoksztalcace</t>
  </si>
  <si>
    <t>Zespół Szkół Ogólnokształcących Nr 6</t>
  </si>
  <si>
    <t>Specjalny Ośrodek Szkolno-Wychowawczy Nr 1</t>
  </si>
  <si>
    <t>Dowożenie uczniów do szkół  80113</t>
  </si>
  <si>
    <t>IV LO</t>
  </si>
  <si>
    <t>V LO</t>
  </si>
  <si>
    <t>VI LO</t>
  </si>
  <si>
    <t>IX LO</t>
  </si>
  <si>
    <t>X LO</t>
  </si>
  <si>
    <t>Kolegium Miejskie</t>
  </si>
  <si>
    <t>nierozdysponowane środki</t>
  </si>
  <si>
    <t>nagrody Prezydenta</t>
  </si>
  <si>
    <t>Licea Ogólnokształcące                  80120</t>
  </si>
  <si>
    <t>Ośrodek Szkolno-Wych Nr 2</t>
  </si>
  <si>
    <t>Licea Ogólnokształcące Specjalne   80121</t>
  </si>
  <si>
    <t>Zespół Szkół Usługowych</t>
  </si>
  <si>
    <t>Licea profilowane                            80123</t>
  </si>
  <si>
    <t>Zespół Szkół Administracyjno-Ekonomicznych</t>
  </si>
  <si>
    <t>Zespół Szkół Budowlanych</t>
  </si>
  <si>
    <t>Zespół Szkół Chłodniczych i Elektronicznych</t>
  </si>
  <si>
    <t>Zespół Szkół Hotelarsko-Gastronomicznych</t>
  </si>
  <si>
    <t>Zespół Szkół Mechanicznych</t>
  </si>
  <si>
    <t xml:space="preserve">Zespół Szkół Technicznych </t>
  </si>
  <si>
    <t>Zespół Szkół Rzemiosła i Handlu</t>
  </si>
  <si>
    <t>Zespół Szkół Ekologicznych</t>
  </si>
  <si>
    <t>Technikum Transportowe</t>
  </si>
  <si>
    <t>Szkoły Zawodowe                             80130</t>
  </si>
  <si>
    <t>Szkoła Muzyczna                             80132</t>
  </si>
  <si>
    <t xml:space="preserve">Specjalny Ośrodek Szkolno-Wych 1 </t>
  </si>
  <si>
    <t>Specjalny Ośrodek Szkolno-Wych 2</t>
  </si>
  <si>
    <t>Szkoły Zawodowe Specjalne    80134</t>
  </si>
  <si>
    <t>Zespół Szkół Technicznych  80140</t>
  </si>
  <si>
    <t>Gdyński Ośrodek Dokształcania Nauczycieli           80141</t>
  </si>
  <si>
    <t>Zespół Szkół Nr 17 - 80148</t>
  </si>
  <si>
    <t>Zespól Szkół Budowlanych</t>
  </si>
  <si>
    <t>Zespól Szkół Mechanicznych</t>
  </si>
  <si>
    <t>RAZEM  DZIAŁ  801</t>
  </si>
  <si>
    <t>Zespół Szkół Specjalnych Nr 17 - 85401</t>
  </si>
  <si>
    <t>Spec.Ośrodek Szk-Wych Nr 1</t>
  </si>
  <si>
    <t>Spec.Ośrodek Szk-Wych Nr 2</t>
  </si>
  <si>
    <t>Ośrodki Szkolno-Wychowawcze    85403</t>
  </si>
  <si>
    <t xml:space="preserve">Zespół Szkół Specjalnych Nr 17             </t>
  </si>
  <si>
    <t>Zespół Szkół Specjalnych Nr 17               85404</t>
  </si>
  <si>
    <t>Poradnia Psych-Pedagog Nr 1</t>
  </si>
  <si>
    <t>Poradnia Psych-Pedagog Nr 2</t>
  </si>
  <si>
    <t>Poradnia Psych-Pedagog Nr 3</t>
  </si>
  <si>
    <t>Poradnie Psychologiczno-Pedagogiczne       85406</t>
  </si>
  <si>
    <t>Młodzieżowy Dom Kultury             85407</t>
  </si>
  <si>
    <t>Internaty i bursy szkolne                 85410</t>
  </si>
  <si>
    <t>Szkolne Schronisko Młodzieżowe 85417</t>
  </si>
  <si>
    <t>RAZEM  DZIAŁ  854</t>
  </si>
  <si>
    <t>RAZEM   801+854</t>
  </si>
  <si>
    <t>rozdz. 80104  przedszkola</t>
  </si>
  <si>
    <t>liczba dzieci</t>
  </si>
  <si>
    <t>§4390</t>
  </si>
  <si>
    <t>§ 4480</t>
  </si>
  <si>
    <t>PS Nr 4</t>
  </si>
  <si>
    <t>PS Nr 5</t>
  </si>
  <si>
    <t>PS Nr 6</t>
  </si>
  <si>
    <t>PS Nr 7</t>
  </si>
  <si>
    <t>PS Nr 8</t>
  </si>
  <si>
    <t>PS Nr 9</t>
  </si>
  <si>
    <t>PS Nr 11</t>
  </si>
  <si>
    <t>PS Nr 13</t>
  </si>
  <si>
    <t>PS Nr 14</t>
  </si>
  <si>
    <t>PS Nr 15</t>
  </si>
  <si>
    <t>PS Nr 16</t>
  </si>
  <si>
    <t>PS Nr 18</t>
  </si>
  <si>
    <t>PS Nr 19</t>
  </si>
  <si>
    <t>PS Nr 21</t>
  </si>
  <si>
    <t>PS Nr 22</t>
  </si>
  <si>
    <t>PS Nr 23</t>
  </si>
  <si>
    <t>PS Nr 24</t>
  </si>
  <si>
    <t>PS Nr 25</t>
  </si>
  <si>
    <t>PS Nr 26</t>
  </si>
  <si>
    <t>PS Nr 27</t>
  </si>
  <si>
    <t>PS Nr 28</t>
  </si>
  <si>
    <t>PS Nr 29</t>
  </si>
  <si>
    <t>PS Nr 30</t>
  </si>
  <si>
    <t>PS Nr 31</t>
  </si>
  <si>
    <t>PS Nr 32</t>
  </si>
  <si>
    <t>PS Nr 35</t>
  </si>
  <si>
    <t>PS Nr 36</t>
  </si>
  <si>
    <t>PS Nr 42</t>
  </si>
  <si>
    <t>PS Nr 43</t>
  </si>
  <si>
    <t>PS Nr 44</t>
  </si>
  <si>
    <t>PS Nr 46</t>
  </si>
  <si>
    <t>PS Nr 47</t>
  </si>
  <si>
    <t>PS Nr 48</t>
  </si>
  <si>
    <t>PS Nr 49</t>
  </si>
  <si>
    <t>PS Nr 50</t>
  </si>
  <si>
    <t>PS Nr 51</t>
  </si>
  <si>
    <t>PS Nr 52</t>
  </si>
  <si>
    <t>NP.</t>
  </si>
  <si>
    <t>Razem</t>
  </si>
  <si>
    <t>śr koszt</t>
  </si>
  <si>
    <t>Plany finansowe jednostek oświatowych na  2011 rok - część III</t>
  </si>
  <si>
    <t>I Akademickie Liceum Ogólnokształcące</t>
  </si>
  <si>
    <t>Zespół Szkół Ogólnokształcących Nr 2</t>
  </si>
  <si>
    <t>Zespół Szkół Ogólnokształcących Nr 1</t>
  </si>
  <si>
    <t>Zespół Sportowych Szkół Ogólnokształcących</t>
  </si>
  <si>
    <t>Zespół Szkół Ogólnokształcących Nr 4</t>
  </si>
  <si>
    <t>Zespół Szkół Ogólnokształcących Nr 5</t>
  </si>
  <si>
    <t>Jednostka organizacyjna</t>
  </si>
  <si>
    <t>Nr placówki</t>
  </si>
  <si>
    <t>Ilość uczn</t>
  </si>
  <si>
    <t>koszt/1 ucznia</t>
  </si>
  <si>
    <t>Wydatki ogółem</t>
  </si>
  <si>
    <t>§4350</t>
  </si>
  <si>
    <t>§ 4370</t>
  </si>
  <si>
    <t>§ 4390</t>
  </si>
  <si>
    <t>§ 4530</t>
  </si>
  <si>
    <t>§ 4580</t>
  </si>
  <si>
    <t>wyd.rzecz.</t>
  </si>
  <si>
    <t>SP 6</t>
  </si>
  <si>
    <t>ZS 5</t>
  </si>
  <si>
    <t>SP 10</t>
  </si>
  <si>
    <t>ZS 6</t>
  </si>
  <si>
    <t>ZS 7</t>
  </si>
  <si>
    <t>SP 13</t>
  </si>
  <si>
    <t>ZSSOg.</t>
  </si>
  <si>
    <t>SP 16</t>
  </si>
  <si>
    <t>SP 17</t>
  </si>
  <si>
    <t>SP 18</t>
  </si>
  <si>
    <t>SP 20</t>
  </si>
  <si>
    <t>SP 21</t>
  </si>
  <si>
    <t>SP 23</t>
  </si>
  <si>
    <t>SP 26</t>
  </si>
  <si>
    <t>SP 28</t>
  </si>
  <si>
    <t>SP 29</t>
  </si>
  <si>
    <t>ZS 9</t>
  </si>
  <si>
    <t>SP 33</t>
  </si>
  <si>
    <t>SP 34</t>
  </si>
  <si>
    <t>SP 35</t>
  </si>
  <si>
    <t>SP 37</t>
  </si>
  <si>
    <t>SP 39</t>
  </si>
  <si>
    <t>SP 40</t>
  </si>
  <si>
    <t>ZS 10</t>
  </si>
  <si>
    <t>ZS 11</t>
  </si>
  <si>
    <t>ZS 12</t>
  </si>
  <si>
    <t>ZWE 1</t>
  </si>
  <si>
    <t>ZS 13</t>
  </si>
  <si>
    <t>ZS 14</t>
  </si>
  <si>
    <t>ZS 15</t>
  </si>
  <si>
    <t>Razem 80101</t>
  </si>
  <si>
    <t>Nagr.Prez.</t>
  </si>
  <si>
    <t xml:space="preserve"> </t>
  </si>
  <si>
    <t>Ogółem</t>
  </si>
  <si>
    <t>Razem 80103</t>
  </si>
  <si>
    <t>Gimnazjum 1</t>
  </si>
  <si>
    <t>G 1</t>
  </si>
  <si>
    <t>Gimnazjum 2</t>
  </si>
  <si>
    <t>G 2</t>
  </si>
  <si>
    <t>Gimnazjum 3</t>
  </si>
  <si>
    <t>G 3</t>
  </si>
  <si>
    <t>Gimnazjum 4</t>
  </si>
  <si>
    <t>G 4</t>
  </si>
  <si>
    <t>G 5</t>
  </si>
  <si>
    <t>G 7</t>
  </si>
  <si>
    <t>G 8</t>
  </si>
  <si>
    <t>G 9</t>
  </si>
  <si>
    <t>ZSOg.6</t>
  </si>
  <si>
    <t>G 10</t>
  </si>
  <si>
    <t>Gimnazjum 11</t>
  </si>
  <si>
    <t>G 11</t>
  </si>
  <si>
    <t>G 12</t>
  </si>
  <si>
    <t>ZSOg.5</t>
  </si>
  <si>
    <t>G 13</t>
  </si>
  <si>
    <t>ZSOg.4</t>
  </si>
  <si>
    <t>G 14</t>
  </si>
  <si>
    <t>G 15</t>
  </si>
  <si>
    <t>G 16</t>
  </si>
  <si>
    <t>G 17</t>
  </si>
  <si>
    <t>G 18</t>
  </si>
  <si>
    <t>G 19</t>
  </si>
  <si>
    <t>G 20</t>
  </si>
  <si>
    <t>ZSZ 1</t>
  </si>
  <si>
    <t>G/Dorośli</t>
  </si>
  <si>
    <t>ZSOg.2</t>
  </si>
  <si>
    <t>G 23</t>
  </si>
  <si>
    <t>ZSOg.1</t>
  </si>
  <si>
    <t>G 24</t>
  </si>
  <si>
    <t>Razem 80110</t>
  </si>
  <si>
    <t>Razem 80113</t>
  </si>
  <si>
    <t>ZS  6</t>
  </si>
  <si>
    <t>ZS  7</t>
  </si>
  <si>
    <t>Razem 80148</t>
  </si>
  <si>
    <t>SP  21</t>
  </si>
  <si>
    <t>SP Nr 40</t>
  </si>
  <si>
    <t>ZS Nr 10</t>
  </si>
  <si>
    <t>ZS Nr 11</t>
  </si>
  <si>
    <t>ZS Nr 12</t>
  </si>
  <si>
    <t>ZWE Nr 1</t>
  </si>
  <si>
    <t>ZS Nr 13</t>
  </si>
  <si>
    <t>ZS Nr 14</t>
  </si>
  <si>
    <t>ZS Nr 15</t>
  </si>
  <si>
    <t>Razem 85401</t>
  </si>
  <si>
    <t>Razem 85412</t>
  </si>
  <si>
    <t>ZS Nr 7</t>
  </si>
  <si>
    <t>Sp 16</t>
  </si>
  <si>
    <t>Razem 80195</t>
  </si>
  <si>
    <t>Razem 801</t>
  </si>
  <si>
    <t>Razem 854</t>
  </si>
  <si>
    <t>Ogółem 801 i 854</t>
  </si>
  <si>
    <t>RAZEM</t>
  </si>
  <si>
    <r>
      <t xml:space="preserve">rozdz. 80148 - stołówki szkolne </t>
    </r>
    <r>
      <rPr>
        <b/>
        <i/>
        <sz val="8"/>
        <rFont val="Arial"/>
        <family val="2"/>
      </rPr>
      <t>(w  przedszkolach)</t>
    </r>
  </si>
  <si>
    <t>Plany finansowe jednostek oświatowych na  2011 rok - część IV</t>
  </si>
  <si>
    <t>Plany finansowe jednostek oświatowych na  2011 rok - część II</t>
  </si>
  <si>
    <t>Plany finansowe jednostek oświatowych na  2011 rok - część 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</si>
</sst>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0"/>
    <numFmt numFmtId="169" formatCode="0.0000"/>
    <numFmt numFmtId="170" formatCode="0.00000"/>
    <numFmt numFmtId="171" formatCode="0.0"/>
    <numFmt numFmtId="172" formatCode="[$€-2]\ #,##0.00_);[Red]\([$€-2]\ #,##0.00\)"/>
    <numFmt numFmtId="173" formatCode="#,##0_ ;[Red]\-#,##0\ "/>
    <numFmt numFmtId="174" formatCode="#,##0.0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3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8" fillId="0" borderId="0" xfId="18" applyFont="1">
      <alignment/>
      <protection/>
    </xf>
    <xf numFmtId="0" fontId="5" fillId="0" borderId="0" xfId="18" applyFont="1">
      <alignment/>
      <protection/>
    </xf>
    <xf numFmtId="0" fontId="5" fillId="0" borderId="1" xfId="18" applyFont="1" applyFill="1" applyBorder="1">
      <alignment/>
      <protection/>
    </xf>
    <xf numFmtId="3" fontId="6" fillId="0" borderId="1" xfId="18" applyNumberFormat="1" applyFont="1" applyFill="1" applyBorder="1" applyAlignment="1">
      <alignment wrapText="1"/>
      <protection/>
    </xf>
    <xf numFmtId="0" fontId="6" fillId="0" borderId="1" xfId="18" applyFont="1" applyFill="1" applyBorder="1" applyAlignment="1">
      <alignment horizontal="center" wrapText="1"/>
      <protection/>
    </xf>
    <xf numFmtId="0" fontId="6" fillId="0" borderId="1" xfId="18" applyFont="1" applyFill="1" applyBorder="1" applyAlignment="1">
      <alignment wrapText="1"/>
      <protection/>
    </xf>
    <xf numFmtId="0" fontId="6" fillId="0" borderId="1" xfId="18" applyFont="1" applyBorder="1" applyAlignment="1">
      <alignment wrapText="1"/>
      <protection/>
    </xf>
    <xf numFmtId="3" fontId="7" fillId="0" borderId="1" xfId="18" applyNumberFormat="1" applyFont="1" applyFill="1" applyBorder="1" applyAlignment="1">
      <alignment wrapText="1"/>
      <protection/>
    </xf>
    <xf numFmtId="3" fontId="5" fillId="0" borderId="1" xfId="18" applyNumberFormat="1" applyFont="1" applyFill="1" applyBorder="1">
      <alignment/>
      <protection/>
    </xf>
    <xf numFmtId="3" fontId="5" fillId="0" borderId="1" xfId="18" applyNumberFormat="1" applyFont="1" applyFill="1" applyBorder="1" applyAlignment="1">
      <alignment horizontal="right"/>
      <protection/>
    </xf>
    <xf numFmtId="3" fontId="4" fillId="0" borderId="1" xfId="18" applyNumberFormat="1" applyFont="1" applyFill="1" applyBorder="1">
      <alignment/>
      <protection/>
    </xf>
    <xf numFmtId="3" fontId="6" fillId="0" borderId="1" xfId="18" applyNumberFormat="1" applyFont="1" applyBorder="1">
      <alignment/>
      <protection/>
    </xf>
    <xf numFmtId="3" fontId="5" fillId="0" borderId="1" xfId="18" applyNumberFormat="1" applyFont="1" applyBorder="1">
      <alignment/>
      <protection/>
    </xf>
    <xf numFmtId="0" fontId="7" fillId="0" borderId="1" xfId="18" applyFont="1" applyFill="1" applyBorder="1">
      <alignment/>
      <protection/>
    </xf>
    <xf numFmtId="3" fontId="4" fillId="0" borderId="1" xfId="18" applyNumberFormat="1" applyFont="1" applyBorder="1">
      <alignment/>
      <protection/>
    </xf>
    <xf numFmtId="0" fontId="5" fillId="0" borderId="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1" fontId="6" fillId="0" borderId="1" xfId="0" applyNumberFormat="1" applyFont="1" applyFill="1" applyBorder="1" applyAlignment="1">
      <alignment wrapText="1"/>
    </xf>
    <xf numFmtId="1" fontId="7" fillId="0" borderId="1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2" fontId="6" fillId="0" borderId="2" xfId="0" applyNumberFormat="1" applyFont="1" applyFill="1" applyBorder="1" applyAlignment="1">
      <alignment wrapText="1"/>
    </xf>
    <xf numFmtId="2" fontId="6" fillId="0" borderId="4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2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71" fontId="5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3" fontId="5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18" applyFont="1">
      <alignment/>
      <protection/>
    </xf>
    <xf numFmtId="0" fontId="6" fillId="0" borderId="1" xfId="18" applyFont="1" applyFill="1" applyBorder="1">
      <alignment/>
      <protection/>
    </xf>
    <xf numFmtId="0" fontId="4" fillId="0" borderId="1" xfId="18" applyFont="1" applyFill="1" applyBorder="1">
      <alignment/>
      <protection/>
    </xf>
    <xf numFmtId="0" fontId="4" fillId="0" borderId="1" xfId="18" applyFont="1" applyFill="1" applyBorder="1" applyAlignment="1">
      <alignment horizontal="center"/>
      <protection/>
    </xf>
    <xf numFmtId="3" fontId="5" fillId="0" borderId="1" xfId="18" applyNumberFormat="1" applyFont="1" applyFill="1" applyBorder="1" applyAlignment="1">
      <alignment horizontal="center"/>
      <protection/>
    </xf>
    <xf numFmtId="3" fontId="4" fillId="4" borderId="1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budżet przedszkola 201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1"/>
  <sheetViews>
    <sheetView workbookViewId="0" topLeftCell="A1">
      <pane xSplit="4" ySplit="4" topLeftCell="E14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M169" sqref="M169"/>
    </sheetView>
  </sheetViews>
  <sheetFormatPr defaultColWidth="9.00390625" defaultRowHeight="12.75"/>
  <cols>
    <col min="1" max="1" width="13.125" style="51" customWidth="1"/>
    <col min="2" max="2" width="9.125" style="51" customWidth="1"/>
    <col min="3" max="3" width="5.75390625" style="51" customWidth="1"/>
    <col min="4" max="4" width="8.00390625" style="96" customWidth="1"/>
    <col min="5" max="5" width="6.625" style="51" customWidth="1"/>
    <col min="6" max="6" width="8.625" style="51" customWidth="1"/>
    <col min="7" max="7" width="8.00390625" style="51" customWidth="1"/>
    <col min="8" max="8" width="8.75390625" style="51" customWidth="1"/>
    <col min="9" max="9" width="7.625" style="51" customWidth="1"/>
    <col min="10" max="10" width="6.75390625" style="51" customWidth="1"/>
    <col min="11" max="11" width="6.25390625" style="51" customWidth="1"/>
    <col min="12" max="12" width="8.00390625" style="51" customWidth="1"/>
    <col min="13" max="13" width="6.375" style="51" customWidth="1"/>
    <col min="14" max="14" width="6.25390625" style="51" customWidth="1"/>
    <col min="15" max="16" width="7.625" style="51" customWidth="1"/>
    <col min="17" max="17" width="7.00390625" style="51" customWidth="1"/>
    <col min="18" max="18" width="8.00390625" style="51" customWidth="1"/>
    <col min="19" max="19" width="5.375" style="51" customWidth="1"/>
    <col min="20" max="20" width="6.125" style="51" customWidth="1"/>
    <col min="21" max="21" width="6.75390625" style="51" customWidth="1"/>
    <col min="22" max="22" width="6.375" style="51" customWidth="1"/>
    <col min="23" max="23" width="6.375" style="51" hidden="1" customWidth="1"/>
    <col min="24" max="24" width="6.25390625" style="51" customWidth="1"/>
    <col min="25" max="25" width="6.375" style="51" customWidth="1"/>
    <col min="26" max="26" width="7.625" style="51" customWidth="1"/>
    <col min="27" max="29" width="6.00390625" style="51" customWidth="1"/>
    <col min="30" max="31" width="6.25390625" style="51" customWidth="1"/>
    <col min="32" max="32" width="5.75390625" style="51" customWidth="1"/>
    <col min="33" max="33" width="9.75390625" style="51" customWidth="1"/>
    <col min="34" max="34" width="10.625" style="51" customWidth="1"/>
    <col min="35" max="16384" width="9.125" style="51" customWidth="1"/>
  </cols>
  <sheetData>
    <row r="1" spans="1:34" ht="11.25">
      <c r="A1" s="56"/>
      <c r="B1" s="56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2:34" ht="18.75">
      <c r="B2" s="28" t="s">
        <v>245</v>
      </c>
      <c r="C2" s="58"/>
      <c r="D2" s="59"/>
      <c r="E2" s="58"/>
      <c r="F2" s="56"/>
      <c r="G2" s="61"/>
      <c r="H2" s="61"/>
      <c r="I2" s="61"/>
      <c r="J2" s="61"/>
      <c r="K2" s="61"/>
      <c r="L2" s="61"/>
      <c r="M2" s="61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62"/>
      <c r="AA2" s="62"/>
      <c r="AB2" s="62"/>
      <c r="AC2" s="62"/>
      <c r="AD2" s="62"/>
      <c r="AE2" s="62"/>
      <c r="AF2" s="62"/>
      <c r="AG2" s="56"/>
      <c r="AH2" s="60"/>
    </row>
    <row r="3" spans="1:34" ht="15.75">
      <c r="A3" s="63"/>
      <c r="B3" s="56"/>
      <c r="C3" s="56"/>
      <c r="D3" s="57"/>
      <c r="E3" s="56"/>
      <c r="F3" s="56"/>
      <c r="G3" s="61"/>
      <c r="H3" s="61"/>
      <c r="I3" s="61"/>
      <c r="J3" s="61"/>
      <c r="K3" s="61"/>
      <c r="L3" s="61"/>
      <c r="M3" s="61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62"/>
      <c r="AA3" s="62"/>
      <c r="AB3" s="62"/>
      <c r="AC3" s="62"/>
      <c r="AD3" s="62"/>
      <c r="AE3" s="62"/>
      <c r="AF3" s="62"/>
      <c r="AG3" s="56"/>
      <c r="AH3" s="64"/>
    </row>
    <row r="4" spans="1:34" s="71" customFormat="1" ht="22.5">
      <c r="A4" s="65" t="s">
        <v>140</v>
      </c>
      <c r="B4" s="66" t="s">
        <v>141</v>
      </c>
      <c r="C4" s="65" t="s">
        <v>142</v>
      </c>
      <c r="D4" s="67" t="s">
        <v>143</v>
      </c>
      <c r="E4" s="66" t="s">
        <v>1</v>
      </c>
      <c r="F4" s="68" t="s">
        <v>3</v>
      </c>
      <c r="G4" s="69" t="s">
        <v>5</v>
      </c>
      <c r="H4" s="69" t="s">
        <v>6</v>
      </c>
      <c r="I4" s="69" t="s">
        <v>7</v>
      </c>
      <c r="J4" s="66" t="s">
        <v>8</v>
      </c>
      <c r="K4" s="66" t="s">
        <v>9</v>
      </c>
      <c r="L4" s="67" t="s">
        <v>10</v>
      </c>
      <c r="M4" s="67" t="s">
        <v>11</v>
      </c>
      <c r="N4" s="67" t="s">
        <v>12</v>
      </c>
      <c r="O4" s="66" t="s">
        <v>13</v>
      </c>
      <c r="P4" s="67" t="s">
        <v>14</v>
      </c>
      <c r="Q4" s="66" t="s">
        <v>15</v>
      </c>
      <c r="R4" s="67" t="s">
        <v>16</v>
      </c>
      <c r="S4" s="66" t="s">
        <v>145</v>
      </c>
      <c r="T4" s="66" t="s">
        <v>18</v>
      </c>
      <c r="U4" s="66" t="s">
        <v>146</v>
      </c>
      <c r="V4" s="66" t="s">
        <v>147</v>
      </c>
      <c r="W4" s="70" t="s">
        <v>20</v>
      </c>
      <c r="X4" s="66" t="s">
        <v>21</v>
      </c>
      <c r="Y4" s="66" t="s">
        <v>22</v>
      </c>
      <c r="Z4" s="66" t="s">
        <v>23</v>
      </c>
      <c r="AA4" s="66" t="s">
        <v>92</v>
      </c>
      <c r="AB4" s="66" t="s">
        <v>148</v>
      </c>
      <c r="AC4" s="66" t="s">
        <v>149</v>
      </c>
      <c r="AD4" s="66" t="s">
        <v>24</v>
      </c>
      <c r="AE4" s="66" t="s">
        <v>26</v>
      </c>
      <c r="AF4" s="66" t="s">
        <v>25</v>
      </c>
      <c r="AG4" s="66" t="s">
        <v>150</v>
      </c>
      <c r="AH4" s="66" t="s">
        <v>144</v>
      </c>
    </row>
    <row r="5" spans="1:34" ht="11.25">
      <c r="A5" s="72" t="s">
        <v>151</v>
      </c>
      <c r="B5" s="73">
        <v>6</v>
      </c>
      <c r="C5" s="74">
        <v>688</v>
      </c>
      <c r="D5" s="75">
        <f aca="true" t="shared" si="0" ref="D5:D35">AH5/C5/12</f>
        <v>449.7900920542636</v>
      </c>
      <c r="E5" s="77">
        <v>10578</v>
      </c>
      <c r="F5" s="78">
        <f>2529914-25000+309</f>
        <v>2505223</v>
      </c>
      <c r="G5" s="77">
        <v>203487</v>
      </c>
      <c r="H5" s="77">
        <v>437126</v>
      </c>
      <c r="I5" s="77">
        <v>69543</v>
      </c>
      <c r="J5" s="77"/>
      <c r="K5" s="77"/>
      <c r="L5" s="77">
        <f>22404+5000</f>
        <v>27404</v>
      </c>
      <c r="M5" s="77"/>
      <c r="N5" s="77">
        <v>2000</v>
      </c>
      <c r="O5" s="77">
        <v>194750</v>
      </c>
      <c r="P5" s="75">
        <f>2700+60000</f>
        <v>62700</v>
      </c>
      <c r="Q5" s="77">
        <v>5500</v>
      </c>
      <c r="R5" s="77">
        <v>38090</v>
      </c>
      <c r="S5" s="77"/>
      <c r="T5" s="77"/>
      <c r="U5" s="77">
        <v>7000</v>
      </c>
      <c r="V5" s="77"/>
      <c r="W5" s="77"/>
      <c r="X5" s="77">
        <v>2000</v>
      </c>
      <c r="Y5" s="77"/>
      <c r="Z5" s="77">
        <v>148066</v>
      </c>
      <c r="AA5" s="77"/>
      <c r="AB5" s="77"/>
      <c r="AC5" s="77"/>
      <c r="AD5" s="77"/>
      <c r="AE5" s="77"/>
      <c r="AF5" s="77"/>
      <c r="AG5" s="77">
        <f aca="true" t="shared" si="1" ref="AG5:AG34">E5+J5+K5+L5+N5+P5+Q5+R5+S5+X5+Y5+T5+U5+V5+AD5+AA5+W5</f>
        <v>155272</v>
      </c>
      <c r="AH5" s="76">
        <f aca="true" t="shared" si="2" ref="AH5:AH34">SUM(E5:AF5)</f>
        <v>3713467</v>
      </c>
    </row>
    <row r="6" spans="1:34" ht="11.25">
      <c r="A6" s="72" t="s">
        <v>152</v>
      </c>
      <c r="B6" s="73">
        <v>8</v>
      </c>
      <c r="C6" s="74">
        <v>251</v>
      </c>
      <c r="D6" s="75">
        <f t="shared" si="0"/>
        <v>556.2483399734396</v>
      </c>
      <c r="E6" s="77">
        <v>4025</v>
      </c>
      <c r="F6" s="78">
        <f>1155665-15000</f>
        <v>1140665</v>
      </c>
      <c r="G6" s="77">
        <v>94300</v>
      </c>
      <c r="H6" s="77">
        <v>205028</v>
      </c>
      <c r="I6" s="77">
        <v>32618</v>
      </c>
      <c r="J6" s="77"/>
      <c r="K6" s="77"/>
      <c r="L6" s="77">
        <f>7644+2500+2000</f>
        <v>12144</v>
      </c>
      <c r="M6" s="77"/>
      <c r="N6" s="77">
        <v>1500</v>
      </c>
      <c r="O6" s="77">
        <v>90440</v>
      </c>
      <c r="P6" s="75"/>
      <c r="Q6" s="77">
        <v>3000</v>
      </c>
      <c r="R6" s="77">
        <v>12665</v>
      </c>
      <c r="S6" s="77">
        <v>1500</v>
      </c>
      <c r="T6" s="77"/>
      <c r="U6" s="77">
        <v>2500</v>
      </c>
      <c r="V6" s="77"/>
      <c r="W6" s="77"/>
      <c r="X6" s="77">
        <v>500</v>
      </c>
      <c r="Y6" s="77"/>
      <c r="Z6" s="77">
        <v>74535</v>
      </c>
      <c r="AA6" s="77"/>
      <c r="AB6" s="77"/>
      <c r="AC6" s="77"/>
      <c r="AD6" s="77"/>
      <c r="AE6" s="77"/>
      <c r="AF6" s="77"/>
      <c r="AG6" s="77">
        <f t="shared" si="1"/>
        <v>37834</v>
      </c>
      <c r="AH6" s="76">
        <f t="shared" si="2"/>
        <v>1675420</v>
      </c>
    </row>
    <row r="7" spans="1:34" ht="11.25">
      <c r="A7" s="72" t="s">
        <v>153</v>
      </c>
      <c r="B7" s="73">
        <v>10</v>
      </c>
      <c r="C7" s="74">
        <v>484</v>
      </c>
      <c r="D7" s="75">
        <f t="shared" si="0"/>
        <v>715.5146349862258</v>
      </c>
      <c r="E7" s="77">
        <v>8070</v>
      </c>
      <c r="F7" s="78">
        <f>2896708-25000</f>
        <v>2871708</v>
      </c>
      <c r="G7" s="77">
        <v>237808</v>
      </c>
      <c r="H7" s="77">
        <v>496851</v>
      </c>
      <c r="I7" s="77">
        <v>79044</v>
      </c>
      <c r="J7" s="77"/>
      <c r="K7" s="77"/>
      <c r="L7" s="77">
        <f>6918+1000+4000</f>
        <v>11918</v>
      </c>
      <c r="M7" s="77"/>
      <c r="N7" s="77">
        <f>1000+1500</f>
        <v>2500</v>
      </c>
      <c r="O7" s="77">
        <v>183996</v>
      </c>
      <c r="P7" s="75">
        <v>40000</v>
      </c>
      <c r="Q7" s="77">
        <v>5000</v>
      </c>
      <c r="R7" s="77">
        <v>32936</v>
      </c>
      <c r="S7" s="77">
        <v>5400</v>
      </c>
      <c r="T7" s="77">
        <v>1800</v>
      </c>
      <c r="U7" s="77">
        <v>6960</v>
      </c>
      <c r="V7" s="77"/>
      <c r="W7" s="77"/>
      <c r="X7" s="77">
        <v>1500</v>
      </c>
      <c r="Y7" s="77">
        <v>1500</v>
      </c>
      <c r="Z7" s="77">
        <v>168718</v>
      </c>
      <c r="AA7" s="77"/>
      <c r="AB7" s="77"/>
      <c r="AC7" s="77"/>
      <c r="AD7" s="77"/>
      <c r="AE7" s="77"/>
      <c r="AF7" s="77"/>
      <c r="AG7" s="77">
        <f t="shared" si="1"/>
        <v>117584</v>
      </c>
      <c r="AH7" s="76">
        <f t="shared" si="2"/>
        <v>4155709</v>
      </c>
    </row>
    <row r="8" spans="1:34" ht="11.25">
      <c r="A8" s="72" t="s">
        <v>154</v>
      </c>
      <c r="B8" s="73">
        <v>11</v>
      </c>
      <c r="C8" s="74">
        <v>200</v>
      </c>
      <c r="D8" s="75">
        <f t="shared" si="0"/>
        <v>567.5320833333334</v>
      </c>
      <c r="E8" s="77">
        <v>3109</v>
      </c>
      <c r="F8" s="78">
        <f>866415</f>
        <v>866415</v>
      </c>
      <c r="G8" s="77">
        <v>71220</v>
      </c>
      <c r="H8" s="77">
        <v>149582</v>
      </c>
      <c r="I8" s="77">
        <v>23797</v>
      </c>
      <c r="J8" s="77"/>
      <c r="K8" s="77"/>
      <c r="L8" s="77">
        <v>18800</v>
      </c>
      <c r="M8" s="77"/>
      <c r="N8" s="77">
        <v>500</v>
      </c>
      <c r="O8" s="77">
        <v>96620</v>
      </c>
      <c r="P8" s="75">
        <f>500+60000</f>
        <v>60500</v>
      </c>
      <c r="Q8" s="77">
        <v>800</v>
      </c>
      <c r="R8" s="77">
        <v>11803</v>
      </c>
      <c r="S8" s="77">
        <v>700</v>
      </c>
      <c r="T8" s="77"/>
      <c r="U8" s="77">
        <v>3000</v>
      </c>
      <c r="V8" s="77"/>
      <c r="W8" s="77"/>
      <c r="X8" s="74">
        <v>500</v>
      </c>
      <c r="Y8" s="77">
        <v>2000</v>
      </c>
      <c r="Z8" s="77">
        <v>51231</v>
      </c>
      <c r="AA8" s="77"/>
      <c r="AB8" s="77"/>
      <c r="AC8" s="77"/>
      <c r="AD8" s="77">
        <v>1500</v>
      </c>
      <c r="AE8" s="77"/>
      <c r="AF8" s="77"/>
      <c r="AG8" s="77">
        <f t="shared" si="1"/>
        <v>103212</v>
      </c>
      <c r="AH8" s="76">
        <f t="shared" si="2"/>
        <v>1362077</v>
      </c>
    </row>
    <row r="9" spans="1:34" ht="11.25">
      <c r="A9" s="72" t="s">
        <v>155</v>
      </c>
      <c r="B9" s="73">
        <v>12</v>
      </c>
      <c r="C9" s="74">
        <v>526</v>
      </c>
      <c r="D9" s="75">
        <f t="shared" si="0"/>
        <v>426.0110899873257</v>
      </c>
      <c r="E9" s="77">
        <v>6119</v>
      </c>
      <c r="F9" s="78">
        <f>1797889-15000</f>
        <v>1782889</v>
      </c>
      <c r="G9" s="77">
        <v>142290</v>
      </c>
      <c r="H9" s="77">
        <v>309100</v>
      </c>
      <c r="I9" s="77">
        <v>49175</v>
      </c>
      <c r="J9" s="77">
        <v>3000</v>
      </c>
      <c r="K9" s="77">
        <v>1000</v>
      </c>
      <c r="L9" s="77">
        <f>23462+3000</f>
        <v>26462</v>
      </c>
      <c r="M9" s="77"/>
      <c r="N9" s="77">
        <v>3640</v>
      </c>
      <c r="O9" s="77">
        <v>142013</v>
      </c>
      <c r="P9" s="75">
        <f>4144+80000</f>
        <v>84144</v>
      </c>
      <c r="Q9" s="77">
        <v>1960</v>
      </c>
      <c r="R9" s="77">
        <v>19198</v>
      </c>
      <c r="S9" s="77">
        <v>1308</v>
      </c>
      <c r="T9" s="77">
        <v>300</v>
      </c>
      <c r="U9" s="77">
        <v>2800</v>
      </c>
      <c r="V9" s="77"/>
      <c r="W9" s="77"/>
      <c r="X9" s="74">
        <v>500</v>
      </c>
      <c r="Y9" s="77">
        <v>1960</v>
      </c>
      <c r="Z9" s="77">
        <v>109624</v>
      </c>
      <c r="AA9" s="77">
        <v>1000</v>
      </c>
      <c r="AB9" s="77"/>
      <c r="AC9" s="77"/>
      <c r="AD9" s="77">
        <v>500</v>
      </c>
      <c r="AE9" s="77"/>
      <c r="AF9" s="77"/>
      <c r="AG9" s="77">
        <f t="shared" si="1"/>
        <v>153891</v>
      </c>
      <c r="AH9" s="76">
        <f t="shared" si="2"/>
        <v>2688982</v>
      </c>
    </row>
    <row r="10" spans="1:34" ht="11.25">
      <c r="A10" s="72" t="s">
        <v>156</v>
      </c>
      <c r="B10" s="73">
        <v>13</v>
      </c>
      <c r="C10" s="74">
        <v>269</v>
      </c>
      <c r="D10" s="75">
        <f t="shared" si="0"/>
        <v>709.131970260223</v>
      </c>
      <c r="E10" s="77">
        <v>5810</v>
      </c>
      <c r="F10" s="78">
        <f>1546603-15000</f>
        <v>1531603</v>
      </c>
      <c r="G10" s="77">
        <v>127214</v>
      </c>
      <c r="H10" s="77">
        <v>266023</v>
      </c>
      <c r="I10" s="77">
        <v>42322</v>
      </c>
      <c r="J10" s="77"/>
      <c r="K10" s="77">
        <v>1300</v>
      </c>
      <c r="L10" s="77">
        <v>14400</v>
      </c>
      <c r="M10" s="77"/>
      <c r="N10" s="77">
        <v>1500</v>
      </c>
      <c r="O10" s="77">
        <v>179619</v>
      </c>
      <c r="P10" s="75">
        <v>3000</v>
      </c>
      <c r="Q10" s="77">
        <v>3500</v>
      </c>
      <c r="R10" s="77">
        <v>16088</v>
      </c>
      <c r="S10" s="77">
        <v>500</v>
      </c>
      <c r="T10" s="77">
        <v>800</v>
      </c>
      <c r="U10" s="77">
        <v>2500</v>
      </c>
      <c r="V10" s="77"/>
      <c r="W10" s="77"/>
      <c r="X10" s="77">
        <v>900</v>
      </c>
      <c r="Y10" s="77">
        <v>1300</v>
      </c>
      <c r="Z10" s="77">
        <v>90699</v>
      </c>
      <c r="AA10" s="77"/>
      <c r="AB10" s="77"/>
      <c r="AC10" s="77"/>
      <c r="AD10" s="77"/>
      <c r="AE10" s="77"/>
      <c r="AF10" s="77"/>
      <c r="AG10" s="77">
        <f t="shared" si="1"/>
        <v>51598</v>
      </c>
      <c r="AH10" s="76">
        <f t="shared" si="2"/>
        <v>2289078</v>
      </c>
    </row>
    <row r="11" spans="1:34" ht="11.25">
      <c r="A11" s="72" t="s">
        <v>157</v>
      </c>
      <c r="B11" s="73">
        <v>14</v>
      </c>
      <c r="C11" s="74">
        <v>164</v>
      </c>
      <c r="D11" s="75">
        <f t="shared" si="0"/>
        <v>723.8262195121952</v>
      </c>
      <c r="E11" s="77">
        <v>3638</v>
      </c>
      <c r="F11" s="78">
        <f>914939</f>
        <v>914939</v>
      </c>
      <c r="G11" s="77">
        <v>68500</v>
      </c>
      <c r="H11" s="77">
        <v>157293</v>
      </c>
      <c r="I11" s="77">
        <v>25024</v>
      </c>
      <c r="J11" s="77">
        <v>8500</v>
      </c>
      <c r="K11" s="77">
        <v>1000</v>
      </c>
      <c r="L11" s="77">
        <v>7100</v>
      </c>
      <c r="M11" s="77"/>
      <c r="N11" s="77">
        <v>2000</v>
      </c>
      <c r="O11" s="77">
        <v>154186</v>
      </c>
      <c r="P11" s="75">
        <v>2000</v>
      </c>
      <c r="Q11" s="77">
        <v>2000</v>
      </c>
      <c r="R11" s="77">
        <v>18350</v>
      </c>
      <c r="S11" s="77">
        <v>500</v>
      </c>
      <c r="T11" s="77">
        <v>800</v>
      </c>
      <c r="U11" s="77">
        <v>1000</v>
      </c>
      <c r="V11" s="77"/>
      <c r="W11" s="77"/>
      <c r="X11" s="74">
        <v>516</v>
      </c>
      <c r="Y11" s="77">
        <v>1000</v>
      </c>
      <c r="Z11" s="77">
        <v>55144</v>
      </c>
      <c r="AA11" s="77"/>
      <c r="AB11" s="77"/>
      <c r="AC11" s="77"/>
      <c r="AD11" s="77">
        <v>1000</v>
      </c>
      <c r="AE11" s="77"/>
      <c r="AF11" s="77"/>
      <c r="AG11" s="77">
        <f t="shared" si="1"/>
        <v>49404</v>
      </c>
      <c r="AH11" s="76">
        <f t="shared" si="2"/>
        <v>1424490</v>
      </c>
    </row>
    <row r="12" spans="1:34" ht="11.25">
      <c r="A12" s="72" t="s">
        <v>158</v>
      </c>
      <c r="B12" s="73">
        <v>16</v>
      </c>
      <c r="C12" s="74">
        <v>374</v>
      </c>
      <c r="D12" s="75">
        <f t="shared" si="0"/>
        <v>565.9910873440285</v>
      </c>
      <c r="E12" s="77">
        <v>4053</v>
      </c>
      <c r="F12" s="78">
        <f>1651085-15000</f>
        <v>1636085</v>
      </c>
      <c r="G12" s="77">
        <v>143200</v>
      </c>
      <c r="H12" s="77">
        <v>287575</v>
      </c>
      <c r="I12" s="77">
        <v>45751</v>
      </c>
      <c r="J12" s="77"/>
      <c r="K12" s="77"/>
      <c r="L12" s="77">
        <v>17356</v>
      </c>
      <c r="M12" s="77"/>
      <c r="N12" s="77">
        <v>2000</v>
      </c>
      <c r="O12" s="77">
        <v>154160</v>
      </c>
      <c r="P12" s="75">
        <f>4000+120000+2000</f>
        <v>126000</v>
      </c>
      <c r="Q12" s="77">
        <v>2000</v>
      </c>
      <c r="R12" s="77">
        <v>15600</v>
      </c>
      <c r="S12" s="77">
        <v>500</v>
      </c>
      <c r="T12" s="77">
        <v>1000</v>
      </c>
      <c r="U12" s="77">
        <v>3000</v>
      </c>
      <c r="V12" s="77"/>
      <c r="W12" s="77"/>
      <c r="X12" s="74">
        <v>1800</v>
      </c>
      <c r="Y12" s="77">
        <v>6700</v>
      </c>
      <c r="Z12" s="77">
        <v>93388</v>
      </c>
      <c r="AA12" s="77"/>
      <c r="AB12" s="77"/>
      <c r="AC12" s="77"/>
      <c r="AD12" s="77"/>
      <c r="AE12" s="77"/>
      <c r="AF12" s="77"/>
      <c r="AG12" s="77">
        <f t="shared" si="1"/>
        <v>180009</v>
      </c>
      <c r="AH12" s="76">
        <f t="shared" si="2"/>
        <v>2540168</v>
      </c>
    </row>
    <row r="13" spans="1:34" ht="11.25">
      <c r="A13" s="72" t="s">
        <v>159</v>
      </c>
      <c r="B13" s="73">
        <v>17</v>
      </c>
      <c r="C13" s="74">
        <v>448</v>
      </c>
      <c r="D13" s="75">
        <f t="shared" si="0"/>
        <v>486.41815476190476</v>
      </c>
      <c r="E13" s="77">
        <v>6436</v>
      </c>
      <c r="F13" s="78">
        <f>1804193-15000</f>
        <v>1789193</v>
      </c>
      <c r="G13" s="77">
        <v>143500</v>
      </c>
      <c r="H13" s="77">
        <v>311878</v>
      </c>
      <c r="I13" s="77">
        <v>49617</v>
      </c>
      <c r="J13" s="77">
        <v>8000</v>
      </c>
      <c r="K13" s="77"/>
      <c r="L13" s="77">
        <f>17842+2000</f>
        <v>19842</v>
      </c>
      <c r="M13" s="77"/>
      <c r="N13" s="77">
        <f>5300+2000</f>
        <v>7300</v>
      </c>
      <c r="O13" s="77">
        <v>144970</v>
      </c>
      <c r="P13" s="75"/>
      <c r="Q13" s="77">
        <v>2800</v>
      </c>
      <c r="R13" s="77">
        <v>23090</v>
      </c>
      <c r="S13" s="77">
        <v>3300</v>
      </c>
      <c r="T13" s="77">
        <v>1300</v>
      </c>
      <c r="U13" s="77">
        <v>2600</v>
      </c>
      <c r="V13" s="77"/>
      <c r="W13" s="77"/>
      <c r="X13" s="74">
        <v>450</v>
      </c>
      <c r="Y13" s="77"/>
      <c r="Z13" s="77">
        <v>100208</v>
      </c>
      <c r="AA13" s="77"/>
      <c r="AB13" s="77"/>
      <c r="AC13" s="77"/>
      <c r="AD13" s="77">
        <v>500</v>
      </c>
      <c r="AE13" s="77"/>
      <c r="AF13" s="77"/>
      <c r="AG13" s="77">
        <f t="shared" si="1"/>
        <v>75618</v>
      </c>
      <c r="AH13" s="76">
        <f t="shared" si="2"/>
        <v>2614984</v>
      </c>
    </row>
    <row r="14" spans="1:34" ht="11.25">
      <c r="A14" s="72" t="s">
        <v>160</v>
      </c>
      <c r="B14" s="73">
        <v>18</v>
      </c>
      <c r="C14" s="74">
        <v>801</v>
      </c>
      <c r="D14" s="75">
        <f t="shared" si="0"/>
        <v>420.63171036204744</v>
      </c>
      <c r="E14" s="77">
        <v>8367</v>
      </c>
      <c r="F14" s="78">
        <f>2833470-25000</f>
        <v>2808470</v>
      </c>
      <c r="G14" s="77">
        <v>214959</v>
      </c>
      <c r="H14" s="77">
        <v>474301</v>
      </c>
      <c r="I14" s="77">
        <v>75457</v>
      </c>
      <c r="J14" s="77">
        <v>3000</v>
      </c>
      <c r="K14" s="77"/>
      <c r="L14" s="77">
        <f>32976+1000</f>
        <v>33976</v>
      </c>
      <c r="M14" s="77"/>
      <c r="N14" s="77">
        <v>3000</v>
      </c>
      <c r="O14" s="77">
        <v>163500</v>
      </c>
      <c r="P14" s="75">
        <f>5000+50000</f>
        <v>55000</v>
      </c>
      <c r="Q14" s="77">
        <v>4000</v>
      </c>
      <c r="R14" s="77">
        <v>30924</v>
      </c>
      <c r="S14" s="77">
        <v>2500</v>
      </c>
      <c r="T14" s="77"/>
      <c r="U14" s="77">
        <v>6500</v>
      </c>
      <c r="V14" s="77"/>
      <c r="W14" s="77"/>
      <c r="X14" s="77">
        <v>100</v>
      </c>
      <c r="Y14" s="77">
        <v>4500</v>
      </c>
      <c r="Z14" s="77">
        <v>149558</v>
      </c>
      <c r="AA14" s="77"/>
      <c r="AB14" s="77"/>
      <c r="AC14" s="77"/>
      <c r="AD14" s="77"/>
      <c r="AE14" s="77">
        <v>5000</v>
      </c>
      <c r="AF14" s="77"/>
      <c r="AG14" s="77">
        <f t="shared" si="1"/>
        <v>151867</v>
      </c>
      <c r="AH14" s="76">
        <f t="shared" si="2"/>
        <v>4043112</v>
      </c>
    </row>
    <row r="15" spans="1:34" ht="11.25">
      <c r="A15" s="79" t="s">
        <v>161</v>
      </c>
      <c r="B15" s="73">
        <v>20</v>
      </c>
      <c r="C15" s="74">
        <v>487</v>
      </c>
      <c r="D15" s="75">
        <f t="shared" si="0"/>
        <v>434.19370294318963</v>
      </c>
      <c r="E15" s="77">
        <v>5824</v>
      </c>
      <c r="F15" s="78">
        <f>1792827-15000</f>
        <v>1777827</v>
      </c>
      <c r="G15" s="77">
        <v>147522</v>
      </c>
      <c r="H15" s="77">
        <v>304465</v>
      </c>
      <c r="I15" s="77">
        <v>48438</v>
      </c>
      <c r="J15" s="77">
        <v>8000</v>
      </c>
      <c r="K15" s="77"/>
      <c r="L15" s="77">
        <v>23300</v>
      </c>
      <c r="M15" s="77"/>
      <c r="N15" s="77">
        <v>2800</v>
      </c>
      <c r="O15" s="77">
        <v>80957</v>
      </c>
      <c r="P15" s="75">
        <v>11000</v>
      </c>
      <c r="Q15" s="77">
        <v>1800</v>
      </c>
      <c r="R15" s="77">
        <v>17140</v>
      </c>
      <c r="S15" s="74">
        <v>1600</v>
      </c>
      <c r="T15" s="74"/>
      <c r="U15" s="74">
        <v>3500</v>
      </c>
      <c r="V15" s="74"/>
      <c r="W15" s="74"/>
      <c r="X15" s="74">
        <v>1000</v>
      </c>
      <c r="Y15" s="77"/>
      <c r="Z15" s="77">
        <v>101255</v>
      </c>
      <c r="AA15" s="77"/>
      <c r="AB15" s="77"/>
      <c r="AC15" s="77"/>
      <c r="AD15" s="77">
        <v>1000</v>
      </c>
      <c r="AE15" s="77"/>
      <c r="AF15" s="77"/>
      <c r="AG15" s="77">
        <f t="shared" si="1"/>
        <v>76964</v>
      </c>
      <c r="AH15" s="76">
        <f t="shared" si="2"/>
        <v>2537428</v>
      </c>
    </row>
    <row r="16" spans="1:34" ht="11.25">
      <c r="A16" s="72" t="s">
        <v>162</v>
      </c>
      <c r="B16" s="73">
        <v>21</v>
      </c>
      <c r="C16" s="74">
        <v>423</v>
      </c>
      <c r="D16" s="75">
        <f t="shared" si="0"/>
        <v>519.6028368794326</v>
      </c>
      <c r="E16" s="77">
        <v>5051</v>
      </c>
      <c r="F16" s="78">
        <f>1783892-15000</f>
        <v>1768892</v>
      </c>
      <c r="G16" s="77">
        <v>142672</v>
      </c>
      <c r="H16" s="77">
        <v>303230</v>
      </c>
      <c r="I16" s="77">
        <v>48241</v>
      </c>
      <c r="J16" s="77"/>
      <c r="K16" s="77"/>
      <c r="L16" s="77">
        <v>13712</v>
      </c>
      <c r="M16" s="77"/>
      <c r="N16" s="77">
        <v>2000</v>
      </c>
      <c r="O16" s="77">
        <v>185112</v>
      </c>
      <c r="P16" s="75">
        <f>6000+30000</f>
        <v>36000</v>
      </c>
      <c r="Q16" s="77">
        <v>2000</v>
      </c>
      <c r="R16" s="77">
        <v>18050</v>
      </c>
      <c r="S16" s="77">
        <v>4000</v>
      </c>
      <c r="T16" s="77"/>
      <c r="U16" s="77">
        <v>6000</v>
      </c>
      <c r="V16" s="77"/>
      <c r="W16" s="77"/>
      <c r="X16" s="74">
        <v>400</v>
      </c>
      <c r="Y16" s="77">
        <v>900</v>
      </c>
      <c r="Z16" s="77">
        <v>100544</v>
      </c>
      <c r="AA16" s="77"/>
      <c r="AB16" s="77"/>
      <c r="AC16" s="77"/>
      <c r="AD16" s="77">
        <v>700</v>
      </c>
      <c r="AE16" s="77"/>
      <c r="AF16" s="77"/>
      <c r="AG16" s="77">
        <f t="shared" si="1"/>
        <v>88813</v>
      </c>
      <c r="AH16" s="76">
        <f t="shared" si="2"/>
        <v>2637504</v>
      </c>
    </row>
    <row r="17" spans="1:34" ht="11.25">
      <c r="A17" s="72" t="s">
        <v>163</v>
      </c>
      <c r="B17" s="73">
        <v>23</v>
      </c>
      <c r="C17" s="74">
        <v>308</v>
      </c>
      <c r="D17" s="75">
        <f t="shared" si="0"/>
        <v>680.9556277056278</v>
      </c>
      <c r="E17" s="77">
        <v>5313</v>
      </c>
      <c r="F17" s="78">
        <f>1703099-15000</f>
        <v>1688099</v>
      </c>
      <c r="G17" s="77">
        <v>135266</v>
      </c>
      <c r="H17" s="77">
        <v>289167</v>
      </c>
      <c r="I17" s="77">
        <v>46004</v>
      </c>
      <c r="J17" s="77"/>
      <c r="K17" s="77"/>
      <c r="L17" s="77">
        <f>20222+900</f>
        <v>21122</v>
      </c>
      <c r="M17" s="77"/>
      <c r="N17" s="77">
        <v>4000</v>
      </c>
      <c r="O17" s="77">
        <v>154000</v>
      </c>
      <c r="P17" s="75">
        <f>50000+6300</f>
        <v>56300</v>
      </c>
      <c r="Q17" s="77">
        <v>1000</v>
      </c>
      <c r="R17" s="77">
        <v>16000</v>
      </c>
      <c r="S17" s="77">
        <v>1030</v>
      </c>
      <c r="T17" s="77"/>
      <c r="U17" s="77">
        <v>2200</v>
      </c>
      <c r="V17" s="77"/>
      <c r="W17" s="77"/>
      <c r="X17" s="74">
        <v>300</v>
      </c>
      <c r="Y17" s="77"/>
      <c r="Z17" s="77">
        <v>97011</v>
      </c>
      <c r="AA17" s="77"/>
      <c r="AB17" s="77"/>
      <c r="AC17" s="77"/>
      <c r="AD17" s="77"/>
      <c r="AE17" s="77"/>
      <c r="AF17" s="77"/>
      <c r="AG17" s="77">
        <f t="shared" si="1"/>
        <v>107265</v>
      </c>
      <c r="AH17" s="76">
        <f t="shared" si="2"/>
        <v>2516812</v>
      </c>
    </row>
    <row r="18" spans="1:34" ht="11.25">
      <c r="A18" s="72" t="s">
        <v>164</v>
      </c>
      <c r="B18" s="73">
        <v>26</v>
      </c>
      <c r="C18" s="74">
        <v>265</v>
      </c>
      <c r="D18" s="75">
        <f t="shared" si="0"/>
        <v>648.1849056603774</v>
      </c>
      <c r="E18" s="77">
        <v>5032</v>
      </c>
      <c r="F18" s="78">
        <f>1385709-15000</f>
        <v>1370709</v>
      </c>
      <c r="G18" s="77">
        <v>113844</v>
      </c>
      <c r="H18" s="77">
        <v>235799</v>
      </c>
      <c r="I18" s="77">
        <v>37513</v>
      </c>
      <c r="J18" s="77"/>
      <c r="K18" s="77"/>
      <c r="L18" s="77">
        <f>15500+500+2000+1000</f>
        <v>19000</v>
      </c>
      <c r="M18" s="77"/>
      <c r="N18" s="77">
        <v>3000</v>
      </c>
      <c r="O18" s="77">
        <v>126516</v>
      </c>
      <c r="P18" s="75">
        <f>1500+30000</f>
        <v>31500</v>
      </c>
      <c r="Q18" s="77">
        <v>500</v>
      </c>
      <c r="R18" s="77">
        <v>37366</v>
      </c>
      <c r="S18" s="77">
        <v>400</v>
      </c>
      <c r="T18" s="77"/>
      <c r="U18" s="77">
        <v>3800</v>
      </c>
      <c r="V18" s="77"/>
      <c r="W18" s="77"/>
      <c r="X18" s="74"/>
      <c r="Y18" s="77"/>
      <c r="Z18" s="77">
        <v>76249</v>
      </c>
      <c r="AA18" s="77"/>
      <c r="AB18" s="77"/>
      <c r="AC18" s="77"/>
      <c r="AD18" s="77"/>
      <c r="AE18" s="77"/>
      <c r="AF18" s="77"/>
      <c r="AG18" s="77">
        <f t="shared" si="1"/>
        <v>100598</v>
      </c>
      <c r="AH18" s="76">
        <f t="shared" si="2"/>
        <v>2061228</v>
      </c>
    </row>
    <row r="19" spans="1:34" ht="11.25">
      <c r="A19" s="79" t="s">
        <v>165</v>
      </c>
      <c r="B19" s="73">
        <v>28</v>
      </c>
      <c r="C19" s="74">
        <v>242</v>
      </c>
      <c r="D19" s="75">
        <f t="shared" si="0"/>
        <v>958.4035812672176</v>
      </c>
      <c r="E19" s="77">
        <v>4467</v>
      </c>
      <c r="F19" s="78">
        <f>1935652-15000</f>
        <v>1920652</v>
      </c>
      <c r="G19" s="77">
        <v>161420</v>
      </c>
      <c r="H19" s="77">
        <v>331160</v>
      </c>
      <c r="I19" s="77">
        <v>52685</v>
      </c>
      <c r="J19" s="77"/>
      <c r="K19" s="77"/>
      <c r="L19" s="77">
        <v>13060</v>
      </c>
      <c r="M19" s="77"/>
      <c r="N19" s="77">
        <f>500+2000</f>
        <v>2500</v>
      </c>
      <c r="O19" s="77">
        <v>149536</v>
      </c>
      <c r="P19" s="75"/>
      <c r="Q19" s="77">
        <v>4200</v>
      </c>
      <c r="R19" s="77">
        <v>25600</v>
      </c>
      <c r="S19" s="77">
        <v>1200</v>
      </c>
      <c r="T19" s="77"/>
      <c r="U19" s="77">
        <v>5500</v>
      </c>
      <c r="V19" s="77"/>
      <c r="W19" s="77"/>
      <c r="X19" s="74">
        <v>500</v>
      </c>
      <c r="Y19" s="77"/>
      <c r="Z19" s="77">
        <v>110724</v>
      </c>
      <c r="AA19" s="77"/>
      <c r="AB19" s="77"/>
      <c r="AC19" s="77"/>
      <c r="AD19" s="77"/>
      <c r="AE19" s="77"/>
      <c r="AF19" s="77"/>
      <c r="AG19" s="77">
        <f t="shared" si="1"/>
        <v>57027</v>
      </c>
      <c r="AH19" s="76">
        <f t="shared" si="2"/>
        <v>2783204</v>
      </c>
    </row>
    <row r="20" spans="1:34" ht="11.25">
      <c r="A20" s="72" t="s">
        <v>166</v>
      </c>
      <c r="B20" s="73">
        <v>29</v>
      </c>
      <c r="C20" s="74">
        <v>333</v>
      </c>
      <c r="D20" s="75">
        <f t="shared" si="0"/>
        <v>587.393893893894</v>
      </c>
      <c r="E20" s="77">
        <v>4786</v>
      </c>
      <c r="F20" s="78">
        <f>1547008-15000</f>
        <v>1532008</v>
      </c>
      <c r="G20" s="77">
        <v>132603</v>
      </c>
      <c r="H20" s="77">
        <v>262380</v>
      </c>
      <c r="I20" s="77">
        <v>41742</v>
      </c>
      <c r="J20" s="77"/>
      <c r="K20" s="77"/>
      <c r="L20" s="77">
        <v>16600</v>
      </c>
      <c r="M20" s="77"/>
      <c r="N20" s="77">
        <v>1500</v>
      </c>
      <c r="O20" s="77">
        <v>170740</v>
      </c>
      <c r="P20" s="75">
        <f>1800+65000+7000</f>
        <v>73800</v>
      </c>
      <c r="Q20" s="77">
        <v>2000</v>
      </c>
      <c r="R20" s="77">
        <v>15752</v>
      </c>
      <c r="S20" s="77">
        <v>1100</v>
      </c>
      <c r="T20" s="77"/>
      <c r="U20" s="77">
        <v>3150</v>
      </c>
      <c r="V20" s="77"/>
      <c r="W20" s="77"/>
      <c r="X20" s="74">
        <v>600</v>
      </c>
      <c r="Y20" s="77">
        <v>650</v>
      </c>
      <c r="Z20" s="77">
        <v>87815</v>
      </c>
      <c r="AA20" s="77"/>
      <c r="AB20" s="77"/>
      <c r="AC20" s="77"/>
      <c r="AD20" s="77"/>
      <c r="AE20" s="77"/>
      <c r="AF20" s="77"/>
      <c r="AG20" s="77">
        <f t="shared" si="1"/>
        <v>119938</v>
      </c>
      <c r="AH20" s="76">
        <f t="shared" si="2"/>
        <v>2347226</v>
      </c>
    </row>
    <row r="21" spans="1:34" ht="11.25">
      <c r="A21" s="72" t="s">
        <v>167</v>
      </c>
      <c r="B21" s="73">
        <v>31</v>
      </c>
      <c r="C21" s="74">
        <v>569</v>
      </c>
      <c r="D21" s="75">
        <f t="shared" si="0"/>
        <v>549.5060046865847</v>
      </c>
      <c r="E21" s="77">
        <v>9063</v>
      </c>
      <c r="F21" s="78">
        <f>2454861-25000</f>
        <v>2429861</v>
      </c>
      <c r="G21" s="77">
        <v>199318</v>
      </c>
      <c r="H21" s="77">
        <v>415850</v>
      </c>
      <c r="I21" s="77">
        <v>66158</v>
      </c>
      <c r="J21" s="77"/>
      <c r="K21" s="77"/>
      <c r="L21" s="77">
        <v>10000</v>
      </c>
      <c r="M21" s="77"/>
      <c r="N21" s="77">
        <f>4000</f>
        <v>4000</v>
      </c>
      <c r="O21" s="77">
        <v>363000</v>
      </c>
      <c r="P21" s="75">
        <f>4000+60000+1000</f>
        <v>65000</v>
      </c>
      <c r="Q21" s="77">
        <v>2000</v>
      </c>
      <c r="R21" s="77">
        <v>27952</v>
      </c>
      <c r="S21" s="77">
        <v>2000</v>
      </c>
      <c r="T21" s="77"/>
      <c r="U21" s="77">
        <v>5500</v>
      </c>
      <c r="V21" s="77"/>
      <c r="W21" s="77"/>
      <c r="X21" s="74">
        <v>2500</v>
      </c>
      <c r="Y21" s="77"/>
      <c r="Z21" s="77">
        <v>149825</v>
      </c>
      <c r="AA21" s="77"/>
      <c r="AB21" s="77"/>
      <c r="AC21" s="77"/>
      <c r="AD21" s="77"/>
      <c r="AE21" s="77"/>
      <c r="AF21" s="77"/>
      <c r="AG21" s="77">
        <f t="shared" si="1"/>
        <v>128015</v>
      </c>
      <c r="AH21" s="76">
        <f t="shared" si="2"/>
        <v>3752027</v>
      </c>
    </row>
    <row r="22" spans="1:34" ht="11.25">
      <c r="A22" s="79" t="s">
        <v>168</v>
      </c>
      <c r="B22" s="73">
        <v>33</v>
      </c>
      <c r="C22" s="74">
        <v>660</v>
      </c>
      <c r="D22" s="75">
        <f t="shared" si="0"/>
        <v>451.13535353535354</v>
      </c>
      <c r="E22" s="77">
        <v>7825</v>
      </c>
      <c r="F22" s="78">
        <f>2345138-25000</f>
        <v>2320138</v>
      </c>
      <c r="G22" s="77">
        <v>190061</v>
      </c>
      <c r="H22" s="77">
        <v>395706</v>
      </c>
      <c r="I22" s="77">
        <v>62953</v>
      </c>
      <c r="J22" s="77">
        <v>19200</v>
      </c>
      <c r="K22" s="77"/>
      <c r="L22" s="77">
        <f>25200+1000</f>
        <v>26200</v>
      </c>
      <c r="M22" s="77"/>
      <c r="N22" s="77">
        <v>2000</v>
      </c>
      <c r="O22" s="77">
        <v>275932</v>
      </c>
      <c r="P22" s="75">
        <f>8000+60000</f>
        <v>68000</v>
      </c>
      <c r="Q22" s="77">
        <v>10500</v>
      </c>
      <c r="R22" s="77">
        <v>51576</v>
      </c>
      <c r="S22" s="77">
        <v>600</v>
      </c>
      <c r="T22" s="77"/>
      <c r="U22" s="77">
        <v>4244</v>
      </c>
      <c r="V22" s="77"/>
      <c r="W22" s="77"/>
      <c r="X22" s="74">
        <v>500</v>
      </c>
      <c r="Y22" s="77">
        <v>1000</v>
      </c>
      <c r="Z22" s="77">
        <v>136557</v>
      </c>
      <c r="AA22" s="77"/>
      <c r="AB22" s="77"/>
      <c r="AC22" s="77"/>
      <c r="AD22" s="77"/>
      <c r="AE22" s="77"/>
      <c r="AF22" s="77"/>
      <c r="AG22" s="77">
        <f t="shared" si="1"/>
        <v>191645</v>
      </c>
      <c r="AH22" s="76">
        <f t="shared" si="2"/>
        <v>3572992</v>
      </c>
    </row>
    <row r="23" spans="1:34" ht="11.25">
      <c r="A23" s="72" t="s">
        <v>169</v>
      </c>
      <c r="B23" s="73">
        <v>34</v>
      </c>
      <c r="C23" s="74">
        <v>244</v>
      </c>
      <c r="D23" s="75">
        <f t="shared" si="0"/>
        <v>929.04337431694</v>
      </c>
      <c r="E23" s="77">
        <v>6067</v>
      </c>
      <c r="F23" s="78">
        <f>1763300-15000</f>
        <v>1748300</v>
      </c>
      <c r="G23" s="77">
        <v>147869</v>
      </c>
      <c r="H23" s="77">
        <v>304970</v>
      </c>
      <c r="I23" s="77">
        <v>48518</v>
      </c>
      <c r="J23" s="77"/>
      <c r="K23" s="77"/>
      <c r="L23" s="77">
        <v>13220</v>
      </c>
      <c r="M23" s="77"/>
      <c r="N23" s="77">
        <v>1500</v>
      </c>
      <c r="O23" s="77">
        <v>162120</v>
      </c>
      <c r="P23" s="75">
        <v>150000</v>
      </c>
      <c r="Q23" s="77">
        <v>6000</v>
      </c>
      <c r="R23" s="77">
        <v>20022</v>
      </c>
      <c r="S23" s="77">
        <v>800</v>
      </c>
      <c r="T23" s="77"/>
      <c r="U23" s="77">
        <v>5100</v>
      </c>
      <c r="V23" s="77"/>
      <c r="W23" s="77"/>
      <c r="X23" s="74"/>
      <c r="Y23" s="77"/>
      <c r="Z23" s="77">
        <v>104753</v>
      </c>
      <c r="AA23" s="77"/>
      <c r="AB23" s="77"/>
      <c r="AC23" s="77"/>
      <c r="AD23" s="77">
        <v>1000</v>
      </c>
      <c r="AE23" s="77"/>
      <c r="AF23" s="77"/>
      <c r="AG23" s="77">
        <f t="shared" si="1"/>
        <v>203709</v>
      </c>
      <c r="AH23" s="76">
        <f t="shared" si="2"/>
        <v>2720239</v>
      </c>
    </row>
    <row r="24" spans="1:34" ht="11.25">
      <c r="A24" s="79" t="s">
        <v>170</v>
      </c>
      <c r="B24" s="73">
        <v>35</v>
      </c>
      <c r="C24" s="74">
        <v>314</v>
      </c>
      <c r="D24" s="75">
        <f t="shared" si="0"/>
        <v>729.1324309978769</v>
      </c>
      <c r="E24" s="77">
        <v>6154</v>
      </c>
      <c r="F24" s="78">
        <f>1854788-15000</f>
        <v>1839788</v>
      </c>
      <c r="G24" s="77">
        <v>151766</v>
      </c>
      <c r="H24" s="77">
        <v>316346</v>
      </c>
      <c r="I24" s="77">
        <v>50328</v>
      </c>
      <c r="J24" s="77"/>
      <c r="K24" s="77"/>
      <c r="L24" s="77">
        <v>16200</v>
      </c>
      <c r="M24" s="77"/>
      <c r="N24" s="77">
        <v>2200</v>
      </c>
      <c r="O24" s="77">
        <v>174048</v>
      </c>
      <c r="P24" s="75">
        <f>1000+50000</f>
        <v>51000</v>
      </c>
      <c r="Q24" s="77">
        <f>3500+1819</f>
        <v>5319</v>
      </c>
      <c r="R24" s="77">
        <v>17200</v>
      </c>
      <c r="S24" s="77">
        <v>1600</v>
      </c>
      <c r="T24" s="77"/>
      <c r="U24" s="77">
        <v>4700</v>
      </c>
      <c r="V24" s="77"/>
      <c r="W24" s="77"/>
      <c r="X24" s="77">
        <v>400</v>
      </c>
      <c r="Y24" s="77"/>
      <c r="Z24" s="77">
        <v>108322</v>
      </c>
      <c r="AA24" s="77"/>
      <c r="AB24" s="77"/>
      <c r="AC24" s="77"/>
      <c r="AD24" s="77">
        <v>2000</v>
      </c>
      <c r="AE24" s="77"/>
      <c r="AF24" s="77"/>
      <c r="AG24" s="77">
        <f t="shared" si="1"/>
        <v>106773</v>
      </c>
      <c r="AH24" s="76">
        <f t="shared" si="2"/>
        <v>2747371</v>
      </c>
    </row>
    <row r="25" spans="1:34" ht="11.25">
      <c r="A25" s="72" t="s">
        <v>171</v>
      </c>
      <c r="B25" s="73">
        <v>37</v>
      </c>
      <c r="C25" s="74">
        <v>118</v>
      </c>
      <c r="D25" s="75">
        <f t="shared" si="0"/>
        <v>870.9209039548023</v>
      </c>
      <c r="E25" s="77">
        <v>2493</v>
      </c>
      <c r="F25" s="78">
        <f>784343</f>
        <v>784343</v>
      </c>
      <c r="G25" s="77">
        <v>60715</v>
      </c>
      <c r="H25" s="77">
        <v>131554</v>
      </c>
      <c r="I25" s="77">
        <v>20929</v>
      </c>
      <c r="J25" s="77"/>
      <c r="K25" s="77"/>
      <c r="L25" s="77">
        <f>108136+5000</f>
        <v>113136</v>
      </c>
      <c r="M25" s="77"/>
      <c r="N25" s="77">
        <f>1000+1000</f>
        <v>2000</v>
      </c>
      <c r="O25" s="77">
        <v>20428</v>
      </c>
      <c r="P25" s="75">
        <f>3000+30000</f>
        <v>33000</v>
      </c>
      <c r="Q25" s="77">
        <v>400</v>
      </c>
      <c r="R25" s="74">
        <v>18224</v>
      </c>
      <c r="S25" s="74">
        <v>960</v>
      </c>
      <c r="T25" s="74"/>
      <c r="U25" s="74">
        <v>2800</v>
      </c>
      <c r="V25" s="74"/>
      <c r="W25" s="74"/>
      <c r="X25" s="74"/>
      <c r="Y25" s="77"/>
      <c r="Z25" s="77">
        <v>41942</v>
      </c>
      <c r="AA25" s="77"/>
      <c r="AB25" s="77"/>
      <c r="AC25" s="77"/>
      <c r="AD25" s="77">
        <v>300</v>
      </c>
      <c r="AE25" s="77"/>
      <c r="AF25" s="77"/>
      <c r="AG25" s="77">
        <f t="shared" si="1"/>
        <v>173313</v>
      </c>
      <c r="AH25" s="76">
        <f t="shared" si="2"/>
        <v>1233224</v>
      </c>
    </row>
    <row r="26" spans="1:34" ht="11.25">
      <c r="A26" s="79" t="s">
        <v>172</v>
      </c>
      <c r="B26" s="73">
        <v>39</v>
      </c>
      <c r="C26" s="74">
        <v>588</v>
      </c>
      <c r="D26" s="75">
        <f t="shared" si="0"/>
        <v>490.8034297052154</v>
      </c>
      <c r="E26" s="77">
        <v>7797</v>
      </c>
      <c r="F26" s="78">
        <f>2374559-25000</f>
        <v>2349559</v>
      </c>
      <c r="G26" s="77">
        <v>211656</v>
      </c>
      <c r="H26" s="77">
        <v>420514</v>
      </c>
      <c r="I26" s="77">
        <v>66900</v>
      </c>
      <c r="J26" s="77">
        <v>10000</v>
      </c>
      <c r="K26" s="77"/>
      <c r="L26" s="77">
        <f>27116+1000</f>
        <v>28116</v>
      </c>
      <c r="M26" s="77"/>
      <c r="N26" s="77">
        <v>3000</v>
      </c>
      <c r="O26" s="77">
        <v>161525</v>
      </c>
      <c r="P26" s="75">
        <v>5000</v>
      </c>
      <c r="Q26" s="77">
        <v>3000</v>
      </c>
      <c r="R26" s="77">
        <v>46906</v>
      </c>
      <c r="S26" s="77">
        <v>500</v>
      </c>
      <c r="T26" s="77"/>
      <c r="U26" s="77">
        <v>5400</v>
      </c>
      <c r="V26" s="77"/>
      <c r="W26" s="77"/>
      <c r="X26" s="74">
        <v>1000</v>
      </c>
      <c r="Y26" s="77">
        <v>2500</v>
      </c>
      <c r="Z26" s="77">
        <v>137736</v>
      </c>
      <c r="AA26" s="77"/>
      <c r="AB26" s="77"/>
      <c r="AC26" s="77"/>
      <c r="AD26" s="77">
        <v>2000</v>
      </c>
      <c r="AE26" s="77"/>
      <c r="AF26" s="77"/>
      <c r="AG26" s="77">
        <f t="shared" si="1"/>
        <v>115219</v>
      </c>
      <c r="AH26" s="76">
        <f t="shared" si="2"/>
        <v>3463109</v>
      </c>
    </row>
    <row r="27" spans="1:34" ht="11.25">
      <c r="A27" s="72" t="s">
        <v>173</v>
      </c>
      <c r="B27" s="73">
        <v>40</v>
      </c>
      <c r="C27" s="74">
        <v>760</v>
      </c>
      <c r="D27" s="75">
        <f t="shared" si="0"/>
        <v>438.46940789473683</v>
      </c>
      <c r="E27" s="77">
        <v>11231</v>
      </c>
      <c r="F27" s="78">
        <f>2789944-25000</f>
        <v>2764944</v>
      </c>
      <c r="G27" s="77">
        <v>228632</v>
      </c>
      <c r="H27" s="77">
        <v>478087</v>
      </c>
      <c r="I27" s="77">
        <v>76059</v>
      </c>
      <c r="J27" s="77"/>
      <c r="K27" s="77"/>
      <c r="L27" s="77">
        <v>30412</v>
      </c>
      <c r="M27" s="77"/>
      <c r="N27" s="77">
        <f>1000+1500</f>
        <v>2500</v>
      </c>
      <c r="O27" s="77">
        <v>138645</v>
      </c>
      <c r="P27" s="75">
        <f>2000+50000</f>
        <v>52000</v>
      </c>
      <c r="Q27" s="77">
        <v>1500</v>
      </c>
      <c r="R27" s="77">
        <v>38570</v>
      </c>
      <c r="S27" s="77">
        <v>348</v>
      </c>
      <c r="T27" s="77">
        <v>2500</v>
      </c>
      <c r="U27" s="77">
        <v>3000</v>
      </c>
      <c r="V27" s="77"/>
      <c r="W27" s="77"/>
      <c r="X27" s="74">
        <v>1000</v>
      </c>
      <c r="Y27" s="77"/>
      <c r="Z27" s="77">
        <v>161913</v>
      </c>
      <c r="AA27" s="77"/>
      <c r="AB27" s="77"/>
      <c r="AC27" s="77"/>
      <c r="AD27" s="77">
        <v>500</v>
      </c>
      <c r="AE27" s="77"/>
      <c r="AF27" s="77">
        <v>7000</v>
      </c>
      <c r="AG27" s="77">
        <f t="shared" si="1"/>
        <v>143561</v>
      </c>
      <c r="AH27" s="76">
        <f t="shared" si="2"/>
        <v>3998841</v>
      </c>
    </row>
    <row r="28" spans="1:34" ht="11.25">
      <c r="A28" s="79" t="s">
        <v>174</v>
      </c>
      <c r="B28" s="73">
        <v>42</v>
      </c>
      <c r="C28" s="74">
        <v>378</v>
      </c>
      <c r="D28" s="75">
        <f t="shared" si="0"/>
        <v>626.1018518518518</v>
      </c>
      <c r="E28" s="77">
        <v>8240</v>
      </c>
      <c r="F28" s="78">
        <f>1691162-11851</f>
        <v>1679311</v>
      </c>
      <c r="G28" s="77">
        <v>141375</v>
      </c>
      <c r="H28" s="77">
        <v>286997</v>
      </c>
      <c r="I28" s="77">
        <v>45659</v>
      </c>
      <c r="J28" s="77"/>
      <c r="K28" s="77"/>
      <c r="L28" s="77">
        <v>18020</v>
      </c>
      <c r="M28" s="77"/>
      <c r="N28" s="77">
        <v>600</v>
      </c>
      <c r="O28" s="77">
        <v>485699</v>
      </c>
      <c r="P28" s="75">
        <f>900+30000</f>
        <v>30900</v>
      </c>
      <c r="Q28" s="77">
        <v>3800</v>
      </c>
      <c r="R28" s="77">
        <v>30863</v>
      </c>
      <c r="S28" s="77">
        <v>2000</v>
      </c>
      <c r="T28" s="77"/>
      <c r="U28" s="77">
        <v>4500</v>
      </c>
      <c r="V28" s="77"/>
      <c r="W28" s="77"/>
      <c r="X28" s="74"/>
      <c r="Y28" s="77"/>
      <c r="Z28" s="77">
        <v>102034</v>
      </c>
      <c r="AA28" s="77"/>
      <c r="AB28" s="77"/>
      <c r="AC28" s="77"/>
      <c r="AD28" s="77"/>
      <c r="AE28" s="77"/>
      <c r="AF28" s="77"/>
      <c r="AG28" s="77">
        <f t="shared" si="1"/>
        <v>98923</v>
      </c>
      <c r="AH28" s="76">
        <f t="shared" si="2"/>
        <v>2839998</v>
      </c>
    </row>
    <row r="29" spans="1:34" ht="11.25">
      <c r="A29" s="72" t="s">
        <v>175</v>
      </c>
      <c r="B29" s="73">
        <v>43</v>
      </c>
      <c r="C29" s="74">
        <v>374</v>
      </c>
      <c r="D29" s="75">
        <f t="shared" si="0"/>
        <v>624.966577540107</v>
      </c>
      <c r="E29" s="77">
        <v>7286</v>
      </c>
      <c r="F29" s="78">
        <f>1869700-15000</f>
        <v>1854700</v>
      </c>
      <c r="G29" s="77">
        <v>140283</v>
      </c>
      <c r="H29" s="77">
        <v>314642</v>
      </c>
      <c r="I29" s="77">
        <v>50057</v>
      </c>
      <c r="J29" s="77"/>
      <c r="K29" s="77"/>
      <c r="L29" s="77">
        <v>10324</v>
      </c>
      <c r="M29" s="77"/>
      <c r="N29" s="77">
        <v>3000</v>
      </c>
      <c r="O29" s="77">
        <v>185035</v>
      </c>
      <c r="P29" s="75">
        <f>4380+70000+7000</f>
        <v>81380</v>
      </c>
      <c r="Q29" s="77">
        <v>5000</v>
      </c>
      <c r="R29" s="77">
        <v>40674</v>
      </c>
      <c r="S29" s="77">
        <v>1320</v>
      </c>
      <c r="T29" s="77"/>
      <c r="U29" s="77">
        <v>3000</v>
      </c>
      <c r="V29" s="77"/>
      <c r="W29" s="77"/>
      <c r="X29" s="74">
        <v>750</v>
      </c>
      <c r="Y29" s="77">
        <v>2500</v>
      </c>
      <c r="Z29" s="77">
        <v>102899</v>
      </c>
      <c r="AA29" s="77"/>
      <c r="AB29" s="77"/>
      <c r="AC29" s="77"/>
      <c r="AD29" s="77">
        <v>2000</v>
      </c>
      <c r="AE29" s="77"/>
      <c r="AF29" s="77"/>
      <c r="AG29" s="77">
        <f t="shared" si="1"/>
        <v>157234</v>
      </c>
      <c r="AH29" s="76">
        <f t="shared" si="2"/>
        <v>2804850</v>
      </c>
    </row>
    <row r="30" spans="1:34" ht="11.25">
      <c r="A30" s="72" t="s">
        <v>176</v>
      </c>
      <c r="B30" s="73">
        <v>44</v>
      </c>
      <c r="C30" s="74">
        <v>146</v>
      </c>
      <c r="D30" s="75">
        <f t="shared" si="0"/>
        <v>651.7905251141552</v>
      </c>
      <c r="E30" s="77">
        <v>1851</v>
      </c>
      <c r="F30" s="78">
        <f>716164</f>
        <v>716164</v>
      </c>
      <c r="G30" s="77">
        <v>58157</v>
      </c>
      <c r="H30" s="77">
        <v>125971</v>
      </c>
      <c r="I30" s="77">
        <v>20041</v>
      </c>
      <c r="J30" s="77">
        <v>1848</v>
      </c>
      <c r="K30" s="77"/>
      <c r="L30" s="77">
        <f>5650+5840</f>
        <v>11490</v>
      </c>
      <c r="M30" s="77"/>
      <c r="N30" s="77">
        <v>450</v>
      </c>
      <c r="O30" s="77">
        <v>97458</v>
      </c>
      <c r="P30" s="75">
        <f>1550+60000</f>
        <v>61550</v>
      </c>
      <c r="Q30" s="77">
        <v>1250</v>
      </c>
      <c r="R30" s="77">
        <v>6017</v>
      </c>
      <c r="S30" s="74"/>
      <c r="T30" s="74"/>
      <c r="U30" s="74"/>
      <c r="V30" s="74"/>
      <c r="W30" s="74"/>
      <c r="X30" s="74">
        <v>100</v>
      </c>
      <c r="Y30" s="77"/>
      <c r="Z30" s="77">
        <v>39490</v>
      </c>
      <c r="AA30" s="77"/>
      <c r="AB30" s="77"/>
      <c r="AC30" s="77"/>
      <c r="AD30" s="77">
        <v>100</v>
      </c>
      <c r="AE30" s="77"/>
      <c r="AF30" s="77"/>
      <c r="AG30" s="77">
        <f t="shared" si="1"/>
        <v>84656</v>
      </c>
      <c r="AH30" s="76">
        <f t="shared" si="2"/>
        <v>1141937</v>
      </c>
    </row>
    <row r="31" spans="1:34" ht="11.25">
      <c r="A31" s="72" t="s">
        <v>177</v>
      </c>
      <c r="B31" s="73">
        <v>45</v>
      </c>
      <c r="C31" s="74">
        <v>232</v>
      </c>
      <c r="D31" s="75">
        <f t="shared" si="0"/>
        <v>635.450790229885</v>
      </c>
      <c r="E31" s="77">
        <v>4299</v>
      </c>
      <c r="F31" s="78">
        <f>1194843-15000</f>
        <v>1179843</v>
      </c>
      <c r="G31" s="77">
        <v>96123</v>
      </c>
      <c r="H31" s="77">
        <v>206050</v>
      </c>
      <c r="I31" s="77">
        <v>32781</v>
      </c>
      <c r="J31" s="77">
        <v>12000</v>
      </c>
      <c r="K31" s="77">
        <v>500</v>
      </c>
      <c r="L31" s="77">
        <v>15700</v>
      </c>
      <c r="M31" s="77"/>
      <c r="N31" s="77">
        <v>1560</v>
      </c>
      <c r="O31" s="77">
        <v>73390</v>
      </c>
      <c r="P31" s="75">
        <f>50000+8000</f>
        <v>58000</v>
      </c>
      <c r="Q31" s="77">
        <v>3600</v>
      </c>
      <c r="R31" s="77">
        <v>16400</v>
      </c>
      <c r="S31" s="74">
        <v>900</v>
      </c>
      <c r="T31" s="74"/>
      <c r="U31" s="74">
        <v>3000</v>
      </c>
      <c r="V31" s="74"/>
      <c r="W31" s="74"/>
      <c r="X31" s="74">
        <v>1800</v>
      </c>
      <c r="Y31" s="77"/>
      <c r="Z31" s="77">
        <v>62149</v>
      </c>
      <c r="AA31" s="77"/>
      <c r="AB31" s="77"/>
      <c r="AC31" s="77"/>
      <c r="AD31" s="77">
        <v>1000</v>
      </c>
      <c r="AE31" s="77"/>
      <c r="AF31" s="77"/>
      <c r="AG31" s="77">
        <f t="shared" si="1"/>
        <v>118759</v>
      </c>
      <c r="AH31" s="76">
        <f t="shared" si="2"/>
        <v>1769095</v>
      </c>
    </row>
    <row r="32" spans="1:34" ht="11.25">
      <c r="A32" s="72" t="s">
        <v>178</v>
      </c>
      <c r="B32" s="73">
        <v>46</v>
      </c>
      <c r="C32" s="74">
        <v>444</v>
      </c>
      <c r="D32" s="75">
        <f t="shared" si="0"/>
        <v>489.7299174174174</v>
      </c>
      <c r="E32" s="77">
        <v>6991</v>
      </c>
      <c r="F32" s="78">
        <f>1677942-15000</f>
        <v>1662942</v>
      </c>
      <c r="G32" s="77">
        <v>139335</v>
      </c>
      <c r="H32" s="77">
        <v>283316</v>
      </c>
      <c r="I32" s="77">
        <v>45073</v>
      </c>
      <c r="J32" s="77"/>
      <c r="K32" s="77"/>
      <c r="L32" s="77">
        <v>19952</v>
      </c>
      <c r="M32" s="77"/>
      <c r="N32" s="77">
        <v>2000</v>
      </c>
      <c r="O32" s="77">
        <v>276750</v>
      </c>
      <c r="P32" s="75">
        <f>3300+50000</f>
        <v>53300</v>
      </c>
      <c r="Q32" s="77">
        <v>2200</v>
      </c>
      <c r="R32" s="77">
        <v>13780</v>
      </c>
      <c r="S32" s="77">
        <v>900</v>
      </c>
      <c r="T32" s="77">
        <v>1058</v>
      </c>
      <c r="U32" s="77">
        <v>3052</v>
      </c>
      <c r="V32" s="77"/>
      <c r="W32" s="77"/>
      <c r="X32" s="74">
        <v>300</v>
      </c>
      <c r="Y32" s="77">
        <v>1600</v>
      </c>
      <c r="Z32" s="77">
        <v>96732</v>
      </c>
      <c r="AA32" s="77"/>
      <c r="AB32" s="77"/>
      <c r="AC32" s="77"/>
      <c r="AD32" s="77"/>
      <c r="AE32" s="77"/>
      <c r="AF32" s="77"/>
      <c r="AG32" s="77">
        <f t="shared" si="1"/>
        <v>105133</v>
      </c>
      <c r="AH32" s="76">
        <f t="shared" si="2"/>
        <v>2609281</v>
      </c>
    </row>
    <row r="33" spans="1:34" ht="11.25">
      <c r="A33" s="72" t="s">
        <v>179</v>
      </c>
      <c r="B33" s="73">
        <v>47</v>
      </c>
      <c r="C33" s="74">
        <v>558</v>
      </c>
      <c r="D33" s="75">
        <f t="shared" si="0"/>
        <v>599.7600059737157</v>
      </c>
      <c r="E33" s="77">
        <v>13997</v>
      </c>
      <c r="F33" s="78">
        <f>2682435-25000</f>
        <v>2657435</v>
      </c>
      <c r="G33" s="77">
        <v>226515</v>
      </c>
      <c r="H33" s="77">
        <v>474975</v>
      </c>
      <c r="I33" s="77">
        <v>75564</v>
      </c>
      <c r="J33" s="77"/>
      <c r="K33" s="77"/>
      <c r="L33" s="77">
        <v>14000</v>
      </c>
      <c r="M33" s="77"/>
      <c r="N33" s="77">
        <v>3000</v>
      </c>
      <c r="O33" s="77">
        <v>274598</v>
      </c>
      <c r="P33" s="75">
        <f>9600+80000</f>
        <v>89600</v>
      </c>
      <c r="Q33" s="77">
        <v>4100</v>
      </c>
      <c r="R33" s="77">
        <v>17014</v>
      </c>
      <c r="S33" s="77">
        <v>350</v>
      </c>
      <c r="T33" s="77"/>
      <c r="U33" s="77">
        <v>5000</v>
      </c>
      <c r="V33" s="77"/>
      <c r="W33" s="77"/>
      <c r="X33" s="77">
        <v>1000</v>
      </c>
      <c r="Y33" s="77">
        <v>300</v>
      </c>
      <c r="Z33" s="77">
        <v>158545</v>
      </c>
      <c r="AA33" s="77"/>
      <c r="AB33" s="77"/>
      <c r="AC33" s="77"/>
      <c r="AD33" s="77"/>
      <c r="AE33" s="77"/>
      <c r="AF33" s="77"/>
      <c r="AG33" s="77">
        <f t="shared" si="1"/>
        <v>148361</v>
      </c>
      <c r="AH33" s="76">
        <f t="shared" si="2"/>
        <v>4015993</v>
      </c>
    </row>
    <row r="34" spans="1:34" ht="11.25">
      <c r="A34" s="72" t="s">
        <v>180</v>
      </c>
      <c r="B34" s="73">
        <v>48</v>
      </c>
      <c r="C34" s="74">
        <v>352</v>
      </c>
      <c r="D34" s="75">
        <f t="shared" si="0"/>
        <v>462.65222537878793</v>
      </c>
      <c r="E34" s="77">
        <v>5587</v>
      </c>
      <c r="F34" s="78">
        <f>1213228-15000</f>
        <v>1198228</v>
      </c>
      <c r="G34" s="77">
        <v>93978</v>
      </c>
      <c r="H34" s="77">
        <v>212823</v>
      </c>
      <c r="I34" s="77">
        <v>33858</v>
      </c>
      <c r="J34" s="77"/>
      <c r="K34" s="77"/>
      <c r="L34" s="77">
        <v>17300</v>
      </c>
      <c r="M34" s="77"/>
      <c r="N34" s="77">
        <f>1500+1000</f>
        <v>2500</v>
      </c>
      <c r="O34" s="77">
        <v>283810</v>
      </c>
      <c r="P34" s="75">
        <v>1000</v>
      </c>
      <c r="Q34" s="77">
        <v>9000</v>
      </c>
      <c r="R34" s="77">
        <v>14880</v>
      </c>
      <c r="S34" s="77"/>
      <c r="T34" s="77">
        <v>1500</v>
      </c>
      <c r="U34" s="77">
        <v>1500</v>
      </c>
      <c r="V34" s="77"/>
      <c r="W34" s="77"/>
      <c r="X34" s="77"/>
      <c r="Y34" s="77">
        <v>4664</v>
      </c>
      <c r="Z34" s="77">
        <v>73615</v>
      </c>
      <c r="AA34" s="77"/>
      <c r="AB34" s="77"/>
      <c r="AC34" s="77"/>
      <c r="AD34" s="77"/>
      <c r="AE34" s="77"/>
      <c r="AF34" s="77"/>
      <c r="AG34" s="77">
        <f t="shared" si="1"/>
        <v>57931</v>
      </c>
      <c r="AH34" s="76">
        <f t="shared" si="2"/>
        <v>1954243</v>
      </c>
    </row>
    <row r="35" spans="1:34" s="83" customFormat="1" ht="11.25">
      <c r="A35" s="80" t="s">
        <v>181</v>
      </c>
      <c r="B35" s="80"/>
      <c r="C35" s="76">
        <f>SUM(C5:C34)</f>
        <v>12000</v>
      </c>
      <c r="D35" s="81">
        <f t="shared" si="0"/>
        <v>555.6533958333333</v>
      </c>
      <c r="E35" s="76">
        <f aca="true" t="shared" si="3" ref="E35:AG35">SUM(E5:E34)</f>
        <v>189559</v>
      </c>
      <c r="F35" s="82">
        <f t="shared" si="3"/>
        <v>53090933</v>
      </c>
      <c r="G35" s="76">
        <f t="shared" si="3"/>
        <v>4365588</v>
      </c>
      <c r="H35" s="76">
        <f t="shared" si="3"/>
        <v>9188759</v>
      </c>
      <c r="I35" s="76">
        <f t="shared" si="3"/>
        <v>1461849</v>
      </c>
      <c r="J35" s="76">
        <f t="shared" si="3"/>
        <v>73548</v>
      </c>
      <c r="K35" s="76">
        <f t="shared" si="3"/>
        <v>3800</v>
      </c>
      <c r="L35" s="76">
        <f t="shared" si="3"/>
        <v>640266</v>
      </c>
      <c r="M35" s="76">
        <f t="shared" si="3"/>
        <v>0</v>
      </c>
      <c r="N35" s="76">
        <f t="shared" si="3"/>
        <v>72050</v>
      </c>
      <c r="O35" s="76">
        <f t="shared" si="3"/>
        <v>5343553</v>
      </c>
      <c r="P35" s="76">
        <f t="shared" si="3"/>
        <v>1441674</v>
      </c>
      <c r="Q35" s="76">
        <f t="shared" si="3"/>
        <v>99729</v>
      </c>
      <c r="R35" s="76">
        <f t="shared" si="3"/>
        <v>708730</v>
      </c>
      <c r="S35" s="76">
        <f t="shared" si="3"/>
        <v>37816</v>
      </c>
      <c r="T35" s="76">
        <f t="shared" si="3"/>
        <v>11058</v>
      </c>
      <c r="U35" s="76">
        <f t="shared" si="3"/>
        <v>112806</v>
      </c>
      <c r="V35" s="76">
        <f t="shared" si="3"/>
        <v>0</v>
      </c>
      <c r="W35" s="76">
        <f t="shared" si="3"/>
        <v>0</v>
      </c>
      <c r="X35" s="76">
        <f t="shared" si="3"/>
        <v>20916</v>
      </c>
      <c r="Y35" s="76">
        <f t="shared" si="3"/>
        <v>33074</v>
      </c>
      <c r="Z35" s="76">
        <f t="shared" si="3"/>
        <v>3091281</v>
      </c>
      <c r="AA35" s="76">
        <f t="shared" si="3"/>
        <v>1000</v>
      </c>
      <c r="AB35" s="76">
        <f t="shared" si="3"/>
        <v>0</v>
      </c>
      <c r="AC35" s="76">
        <f t="shared" si="3"/>
        <v>0</v>
      </c>
      <c r="AD35" s="76">
        <f t="shared" si="3"/>
        <v>14100</v>
      </c>
      <c r="AE35" s="76">
        <f t="shared" si="3"/>
        <v>5000</v>
      </c>
      <c r="AF35" s="76">
        <f t="shared" si="3"/>
        <v>7000</v>
      </c>
      <c r="AG35" s="76">
        <f t="shared" si="3"/>
        <v>3460126</v>
      </c>
      <c r="AH35" s="76">
        <f>SUM(AH5:AH34)</f>
        <v>80014089</v>
      </c>
    </row>
    <row r="36" spans="1:34" ht="11.25">
      <c r="A36" s="84" t="s">
        <v>182</v>
      </c>
      <c r="B36" s="84"/>
      <c r="C36" s="84"/>
      <c r="D36" s="84"/>
      <c r="E36" s="77"/>
      <c r="F36" s="76">
        <v>155000</v>
      </c>
      <c r="G36" s="77"/>
      <c r="H36" s="77"/>
      <c r="I36" s="77"/>
      <c r="J36" s="77"/>
      <c r="K36" s="77" t="s">
        <v>183</v>
      </c>
      <c r="L36" s="77" t="s">
        <v>183</v>
      </c>
      <c r="M36" s="77"/>
      <c r="N36" s="77" t="s">
        <v>183</v>
      </c>
      <c r="O36" s="74"/>
      <c r="P36" s="86"/>
      <c r="Q36" s="77" t="s">
        <v>183</v>
      </c>
      <c r="R36" s="77" t="s">
        <v>183</v>
      </c>
      <c r="S36" s="77"/>
      <c r="T36" s="77"/>
      <c r="U36" s="77"/>
      <c r="V36" s="77"/>
      <c r="W36" s="77"/>
      <c r="X36" s="74"/>
      <c r="Y36" s="87"/>
      <c r="Z36" s="87"/>
      <c r="AA36" s="87"/>
      <c r="AB36" s="87"/>
      <c r="AC36" s="87"/>
      <c r="AD36" s="87"/>
      <c r="AE36" s="87"/>
      <c r="AF36" s="87"/>
      <c r="AG36" s="77"/>
      <c r="AH36" s="85">
        <v>155000</v>
      </c>
    </row>
    <row r="37" spans="1:34" s="61" customFormat="1" ht="11.25">
      <c r="A37" s="80" t="s">
        <v>184</v>
      </c>
      <c r="B37" s="80"/>
      <c r="C37" s="74"/>
      <c r="D37" s="88"/>
      <c r="E37" s="76">
        <f aca="true" t="shared" si="4" ref="E37:AG37">SUM(E35:E36)</f>
        <v>189559</v>
      </c>
      <c r="F37" s="76">
        <f t="shared" si="4"/>
        <v>53245933</v>
      </c>
      <c r="G37" s="76">
        <f t="shared" si="4"/>
        <v>4365588</v>
      </c>
      <c r="H37" s="76">
        <f t="shared" si="4"/>
        <v>9188759</v>
      </c>
      <c r="I37" s="76">
        <f t="shared" si="4"/>
        <v>1461849</v>
      </c>
      <c r="J37" s="76">
        <f t="shared" si="4"/>
        <v>73548</v>
      </c>
      <c r="K37" s="76">
        <f t="shared" si="4"/>
        <v>3800</v>
      </c>
      <c r="L37" s="76">
        <f t="shared" si="4"/>
        <v>640266</v>
      </c>
      <c r="M37" s="76">
        <f t="shared" si="4"/>
        <v>0</v>
      </c>
      <c r="N37" s="76">
        <f t="shared" si="4"/>
        <v>72050</v>
      </c>
      <c r="O37" s="76">
        <f t="shared" si="4"/>
        <v>5343553</v>
      </c>
      <c r="P37" s="81">
        <f t="shared" si="4"/>
        <v>1441674</v>
      </c>
      <c r="Q37" s="76">
        <f t="shared" si="4"/>
        <v>99729</v>
      </c>
      <c r="R37" s="76">
        <f t="shared" si="4"/>
        <v>708730</v>
      </c>
      <c r="S37" s="76">
        <f t="shared" si="4"/>
        <v>37816</v>
      </c>
      <c r="T37" s="76">
        <f t="shared" si="4"/>
        <v>11058</v>
      </c>
      <c r="U37" s="76">
        <f t="shared" si="4"/>
        <v>112806</v>
      </c>
      <c r="V37" s="76">
        <f t="shared" si="4"/>
        <v>0</v>
      </c>
      <c r="W37" s="76">
        <f t="shared" si="4"/>
        <v>0</v>
      </c>
      <c r="X37" s="76">
        <f t="shared" si="4"/>
        <v>20916</v>
      </c>
      <c r="Y37" s="76">
        <f t="shared" si="4"/>
        <v>33074</v>
      </c>
      <c r="Z37" s="76">
        <f t="shared" si="4"/>
        <v>3091281</v>
      </c>
      <c r="AA37" s="76">
        <f t="shared" si="4"/>
        <v>1000</v>
      </c>
      <c r="AB37" s="76">
        <f t="shared" si="4"/>
        <v>0</v>
      </c>
      <c r="AC37" s="76">
        <f t="shared" si="4"/>
        <v>0</v>
      </c>
      <c r="AD37" s="76">
        <f t="shared" si="4"/>
        <v>14100</v>
      </c>
      <c r="AE37" s="76">
        <f t="shared" si="4"/>
        <v>5000</v>
      </c>
      <c r="AF37" s="76">
        <f t="shared" si="4"/>
        <v>7000</v>
      </c>
      <c r="AG37" s="76">
        <f t="shared" si="4"/>
        <v>3460126</v>
      </c>
      <c r="AH37" s="89">
        <f>SUM(AH35:AH36)</f>
        <v>80169089</v>
      </c>
    </row>
    <row r="38" spans="1:34" ht="11.25">
      <c r="A38" s="91" t="s">
        <v>151</v>
      </c>
      <c r="B38" s="65">
        <v>6</v>
      </c>
      <c r="C38" s="74">
        <v>24</v>
      </c>
      <c r="D38" s="75">
        <f aca="true" t="shared" si="5" ref="D38:D84">AH38/C38/12</f>
        <v>249.2222222222222</v>
      </c>
      <c r="E38" s="77">
        <v>134</v>
      </c>
      <c r="F38" s="78">
        <v>49364</v>
      </c>
      <c r="G38" s="77">
        <v>3712</v>
      </c>
      <c r="H38" s="77">
        <v>8174</v>
      </c>
      <c r="I38" s="77">
        <v>1300</v>
      </c>
      <c r="J38" s="77"/>
      <c r="K38" s="77"/>
      <c r="L38" s="77">
        <v>1092</v>
      </c>
      <c r="M38" s="77"/>
      <c r="N38" s="77">
        <v>1000</v>
      </c>
      <c r="O38" s="77">
        <v>3926</v>
      </c>
      <c r="P38" s="75"/>
      <c r="Q38" s="77"/>
      <c r="R38" s="77">
        <v>500</v>
      </c>
      <c r="S38" s="77"/>
      <c r="T38" s="77"/>
      <c r="U38" s="77"/>
      <c r="V38" s="77"/>
      <c r="W38" s="77"/>
      <c r="X38" s="77"/>
      <c r="Y38" s="77"/>
      <c r="Z38" s="77">
        <v>2574</v>
      </c>
      <c r="AA38" s="77"/>
      <c r="AB38" s="77"/>
      <c r="AC38" s="77"/>
      <c r="AD38" s="77"/>
      <c r="AE38" s="77"/>
      <c r="AF38" s="77"/>
      <c r="AG38" s="77">
        <f aca="true" t="shared" si="6" ref="AG38:AG60">E38+J38+K38+L38+N38+P38+Q38+R38+S38+X38+Y38+T38+U38+V38+AD38+AA38+W38</f>
        <v>2726</v>
      </c>
      <c r="AH38" s="76">
        <f aca="true" t="shared" si="7" ref="AH38:AH60">SUM(E38:AF38)</f>
        <v>71776</v>
      </c>
    </row>
    <row r="39" spans="1:34" ht="11.25">
      <c r="A39" s="91" t="s">
        <v>152</v>
      </c>
      <c r="B39" s="65">
        <v>8</v>
      </c>
      <c r="C39" s="74">
        <v>22</v>
      </c>
      <c r="D39" s="75">
        <f t="shared" si="5"/>
        <v>194.15530303030303</v>
      </c>
      <c r="E39" s="77">
        <v>100</v>
      </c>
      <c r="F39" s="78">
        <v>36459</v>
      </c>
      <c r="G39" s="77">
        <v>2200</v>
      </c>
      <c r="H39" s="77">
        <v>5953</v>
      </c>
      <c r="I39" s="77">
        <v>947</v>
      </c>
      <c r="J39" s="77"/>
      <c r="K39" s="77"/>
      <c r="L39" s="77">
        <v>1600</v>
      </c>
      <c r="M39" s="77"/>
      <c r="N39" s="77"/>
      <c r="O39" s="77"/>
      <c r="P39" s="75"/>
      <c r="Q39" s="77"/>
      <c r="R39" s="77">
        <v>1424</v>
      </c>
      <c r="S39" s="77"/>
      <c r="T39" s="77"/>
      <c r="U39" s="77"/>
      <c r="V39" s="77"/>
      <c r="W39" s="77"/>
      <c r="X39" s="77"/>
      <c r="Y39" s="77"/>
      <c r="Z39" s="77">
        <v>2574</v>
      </c>
      <c r="AA39" s="77"/>
      <c r="AB39" s="77"/>
      <c r="AC39" s="77"/>
      <c r="AD39" s="77"/>
      <c r="AE39" s="77"/>
      <c r="AF39" s="77"/>
      <c r="AG39" s="77">
        <f t="shared" si="6"/>
        <v>3124</v>
      </c>
      <c r="AH39" s="76">
        <f t="shared" si="7"/>
        <v>51257</v>
      </c>
    </row>
    <row r="40" spans="1:34" ht="11.25">
      <c r="A40" s="74" t="s">
        <v>153</v>
      </c>
      <c r="B40" s="73">
        <v>10</v>
      </c>
      <c r="C40" s="74">
        <v>69</v>
      </c>
      <c r="D40" s="75">
        <f t="shared" si="5"/>
        <v>349.49275362318843</v>
      </c>
      <c r="E40" s="77">
        <v>470</v>
      </c>
      <c r="F40" s="78">
        <v>179618</v>
      </c>
      <c r="G40" s="77">
        <v>13276</v>
      </c>
      <c r="H40" s="77">
        <v>29706</v>
      </c>
      <c r="I40" s="77">
        <v>4726</v>
      </c>
      <c r="J40" s="77"/>
      <c r="K40" s="77"/>
      <c r="L40" s="77">
        <v>5608</v>
      </c>
      <c r="M40" s="77"/>
      <c r="N40" s="77">
        <v>1500</v>
      </c>
      <c r="O40" s="77">
        <v>37416</v>
      </c>
      <c r="P40" s="75"/>
      <c r="Q40" s="77"/>
      <c r="R40" s="77">
        <v>5696</v>
      </c>
      <c r="S40" s="77"/>
      <c r="T40" s="77"/>
      <c r="U40" s="77"/>
      <c r="V40" s="77"/>
      <c r="W40" s="77"/>
      <c r="X40" s="77"/>
      <c r="Y40" s="77"/>
      <c r="Z40" s="77">
        <v>11364</v>
      </c>
      <c r="AA40" s="77"/>
      <c r="AB40" s="77"/>
      <c r="AC40" s="77"/>
      <c r="AD40" s="77"/>
      <c r="AE40" s="77"/>
      <c r="AF40" s="77"/>
      <c r="AG40" s="77">
        <f t="shared" si="6"/>
        <v>13274</v>
      </c>
      <c r="AH40" s="76">
        <f t="shared" si="7"/>
        <v>289380</v>
      </c>
    </row>
    <row r="41" spans="1:34" ht="11.25">
      <c r="A41" s="74" t="s">
        <v>154</v>
      </c>
      <c r="B41" s="73">
        <v>11</v>
      </c>
      <c r="C41" s="74">
        <v>25</v>
      </c>
      <c r="D41" s="75">
        <f t="shared" si="5"/>
        <v>227.17333333333332</v>
      </c>
      <c r="E41" s="77">
        <v>134</v>
      </c>
      <c r="F41" s="78">
        <v>48439</v>
      </c>
      <c r="G41" s="77">
        <v>4038</v>
      </c>
      <c r="H41" s="77">
        <v>8081</v>
      </c>
      <c r="I41" s="77">
        <v>1286</v>
      </c>
      <c r="J41" s="77"/>
      <c r="K41" s="77"/>
      <c r="L41" s="77">
        <v>3000</v>
      </c>
      <c r="M41" s="77"/>
      <c r="N41" s="77"/>
      <c r="O41" s="77"/>
      <c r="P41" s="75"/>
      <c r="Q41" s="77"/>
      <c r="R41" s="77">
        <v>600</v>
      </c>
      <c r="S41" s="77"/>
      <c r="T41" s="77"/>
      <c r="U41" s="77"/>
      <c r="V41" s="77"/>
      <c r="W41" s="77"/>
      <c r="X41" s="74"/>
      <c r="Y41" s="77"/>
      <c r="Z41" s="77">
        <v>2574</v>
      </c>
      <c r="AA41" s="77"/>
      <c r="AB41" s="77"/>
      <c r="AC41" s="77"/>
      <c r="AD41" s="77"/>
      <c r="AE41" s="77"/>
      <c r="AF41" s="77"/>
      <c r="AG41" s="77">
        <f t="shared" si="6"/>
        <v>3734</v>
      </c>
      <c r="AH41" s="76">
        <f t="shared" si="7"/>
        <v>68152</v>
      </c>
    </row>
    <row r="42" spans="1:34" ht="11.25">
      <c r="A42" s="74" t="s">
        <v>155</v>
      </c>
      <c r="B42" s="73">
        <v>12</v>
      </c>
      <c r="C42" s="74">
        <v>22</v>
      </c>
      <c r="D42" s="75">
        <f t="shared" si="5"/>
        <v>207.75</v>
      </c>
      <c r="E42" s="77">
        <v>114</v>
      </c>
      <c r="F42" s="78">
        <v>38582</v>
      </c>
      <c r="G42" s="77">
        <v>3266</v>
      </c>
      <c r="H42" s="77">
        <v>6445</v>
      </c>
      <c r="I42" s="77">
        <v>1025</v>
      </c>
      <c r="J42" s="77"/>
      <c r="K42" s="77"/>
      <c r="L42" s="77"/>
      <c r="M42" s="77"/>
      <c r="N42" s="77"/>
      <c r="O42" s="77">
        <v>2840</v>
      </c>
      <c r="P42" s="75"/>
      <c r="Q42" s="77"/>
      <c r="R42" s="77"/>
      <c r="S42" s="77"/>
      <c r="T42" s="77"/>
      <c r="U42" s="77"/>
      <c r="V42" s="77"/>
      <c r="W42" s="77"/>
      <c r="X42" s="74"/>
      <c r="Y42" s="77"/>
      <c r="Z42" s="77">
        <v>2574</v>
      </c>
      <c r="AA42" s="77"/>
      <c r="AB42" s="77"/>
      <c r="AC42" s="77"/>
      <c r="AD42" s="77"/>
      <c r="AE42" s="77"/>
      <c r="AF42" s="77"/>
      <c r="AG42" s="77">
        <f t="shared" si="6"/>
        <v>114</v>
      </c>
      <c r="AH42" s="76">
        <f t="shared" si="7"/>
        <v>54846</v>
      </c>
    </row>
    <row r="43" spans="1:34" ht="11.25">
      <c r="A43" s="74" t="s">
        <v>156</v>
      </c>
      <c r="B43" s="73">
        <v>13</v>
      </c>
      <c r="C43" s="74">
        <v>17</v>
      </c>
      <c r="D43" s="75">
        <f t="shared" si="5"/>
        <v>370.86274509803917</v>
      </c>
      <c r="E43" s="77">
        <v>139</v>
      </c>
      <c r="F43" s="78">
        <v>49655</v>
      </c>
      <c r="G43" s="77">
        <v>5761</v>
      </c>
      <c r="H43" s="77">
        <v>8534</v>
      </c>
      <c r="I43" s="77">
        <v>1358</v>
      </c>
      <c r="J43" s="77"/>
      <c r="K43" s="77"/>
      <c r="L43" s="77">
        <v>1000</v>
      </c>
      <c r="M43" s="77"/>
      <c r="N43" s="77">
        <v>500</v>
      </c>
      <c r="O43" s="77">
        <v>5032</v>
      </c>
      <c r="P43" s="75"/>
      <c r="Q43" s="77"/>
      <c r="R43" s="77">
        <v>1000</v>
      </c>
      <c r="S43" s="77"/>
      <c r="T43" s="77"/>
      <c r="U43" s="77"/>
      <c r="V43" s="77"/>
      <c r="W43" s="77"/>
      <c r="X43" s="77"/>
      <c r="Y43" s="77"/>
      <c r="Z43" s="77">
        <v>2677</v>
      </c>
      <c r="AA43" s="77"/>
      <c r="AB43" s="77"/>
      <c r="AC43" s="77"/>
      <c r="AD43" s="77"/>
      <c r="AE43" s="77"/>
      <c r="AF43" s="77"/>
      <c r="AG43" s="77">
        <f t="shared" si="6"/>
        <v>2639</v>
      </c>
      <c r="AH43" s="76">
        <f t="shared" si="7"/>
        <v>75656</v>
      </c>
    </row>
    <row r="44" spans="1:34" ht="11.25">
      <c r="A44" s="74" t="s">
        <v>158</v>
      </c>
      <c r="B44" s="73">
        <v>16</v>
      </c>
      <c r="C44" s="74">
        <v>50</v>
      </c>
      <c r="D44" s="75">
        <f t="shared" si="5"/>
        <v>206.87833333333333</v>
      </c>
      <c r="E44" s="77">
        <v>229</v>
      </c>
      <c r="F44" s="78">
        <v>82659</v>
      </c>
      <c r="G44" s="77">
        <v>5860</v>
      </c>
      <c r="H44" s="77">
        <v>13632</v>
      </c>
      <c r="I44" s="77">
        <v>2169</v>
      </c>
      <c r="J44" s="77"/>
      <c r="K44" s="77"/>
      <c r="L44" s="77">
        <v>2700</v>
      </c>
      <c r="M44" s="77"/>
      <c r="N44" s="77">
        <f>2000+4000</f>
        <v>6000</v>
      </c>
      <c r="O44" s="77">
        <v>3230</v>
      </c>
      <c r="P44" s="75"/>
      <c r="Q44" s="77"/>
      <c r="R44" s="77">
        <v>2500</v>
      </c>
      <c r="S44" s="77"/>
      <c r="T44" s="77"/>
      <c r="U44" s="77"/>
      <c r="V44" s="77"/>
      <c r="W44" s="77"/>
      <c r="X44" s="74"/>
      <c r="Y44" s="77"/>
      <c r="Z44" s="77">
        <v>5148</v>
      </c>
      <c r="AA44" s="77"/>
      <c r="AB44" s="77"/>
      <c r="AC44" s="77"/>
      <c r="AD44" s="77"/>
      <c r="AE44" s="77"/>
      <c r="AF44" s="77"/>
      <c r="AG44" s="77">
        <f t="shared" si="6"/>
        <v>11429</v>
      </c>
      <c r="AH44" s="76">
        <f t="shared" si="7"/>
        <v>124127</v>
      </c>
    </row>
    <row r="45" spans="1:34" ht="11.25">
      <c r="A45" s="74" t="s">
        <v>159</v>
      </c>
      <c r="B45" s="73">
        <v>17</v>
      </c>
      <c r="C45" s="74">
        <v>36</v>
      </c>
      <c r="D45" s="75">
        <f t="shared" si="5"/>
        <v>300.0625</v>
      </c>
      <c r="E45" s="77">
        <v>249</v>
      </c>
      <c r="F45" s="78">
        <v>87531</v>
      </c>
      <c r="G45" s="77">
        <v>7400</v>
      </c>
      <c r="H45" s="77">
        <v>14619</v>
      </c>
      <c r="I45" s="77">
        <v>2326</v>
      </c>
      <c r="J45" s="77"/>
      <c r="K45" s="77"/>
      <c r="L45" s="77">
        <v>2200</v>
      </c>
      <c r="M45" s="77"/>
      <c r="N45" s="77">
        <v>700</v>
      </c>
      <c r="O45" s="77">
        <v>6940</v>
      </c>
      <c r="P45" s="75"/>
      <c r="Q45" s="77">
        <v>180</v>
      </c>
      <c r="R45" s="77">
        <v>1734</v>
      </c>
      <c r="S45" s="77"/>
      <c r="T45" s="77">
        <v>300</v>
      </c>
      <c r="U45" s="77">
        <v>300</v>
      </c>
      <c r="V45" s="77"/>
      <c r="W45" s="77"/>
      <c r="X45" s="74"/>
      <c r="Y45" s="77"/>
      <c r="Z45" s="77">
        <v>5148</v>
      </c>
      <c r="AA45" s="77"/>
      <c r="AB45" s="77"/>
      <c r="AC45" s="77"/>
      <c r="AD45" s="77"/>
      <c r="AE45" s="77"/>
      <c r="AF45" s="77"/>
      <c r="AG45" s="77">
        <f t="shared" si="6"/>
        <v>5663</v>
      </c>
      <c r="AH45" s="76">
        <f t="shared" si="7"/>
        <v>129627</v>
      </c>
    </row>
    <row r="46" spans="1:34" ht="11.25">
      <c r="A46" s="74" t="s">
        <v>162</v>
      </c>
      <c r="B46" s="73">
        <v>21</v>
      </c>
      <c r="C46" s="74">
        <v>21</v>
      </c>
      <c r="D46" s="75">
        <f t="shared" si="5"/>
        <v>206.7420634920635</v>
      </c>
      <c r="E46" s="77">
        <v>100</v>
      </c>
      <c r="F46" s="78">
        <v>36458</v>
      </c>
      <c r="G46" s="77">
        <v>2915</v>
      </c>
      <c r="H46" s="77">
        <v>6063</v>
      </c>
      <c r="I46" s="77">
        <v>965</v>
      </c>
      <c r="J46" s="77"/>
      <c r="K46" s="77"/>
      <c r="L46" s="77">
        <v>1274</v>
      </c>
      <c r="M46" s="77"/>
      <c r="N46" s="77">
        <v>1100</v>
      </c>
      <c r="O46" s="77"/>
      <c r="P46" s="75"/>
      <c r="Q46" s="77"/>
      <c r="R46" s="77">
        <v>300</v>
      </c>
      <c r="S46" s="77"/>
      <c r="T46" s="77"/>
      <c r="U46" s="77">
        <v>350</v>
      </c>
      <c r="V46" s="77"/>
      <c r="W46" s="77"/>
      <c r="X46" s="74"/>
      <c r="Y46" s="77"/>
      <c r="Z46" s="77">
        <v>2574</v>
      </c>
      <c r="AA46" s="77"/>
      <c r="AB46" s="77"/>
      <c r="AC46" s="77"/>
      <c r="AD46" s="77"/>
      <c r="AE46" s="77"/>
      <c r="AF46" s="77"/>
      <c r="AG46" s="77">
        <f t="shared" si="6"/>
        <v>3124</v>
      </c>
      <c r="AH46" s="76">
        <f t="shared" si="7"/>
        <v>52099</v>
      </c>
    </row>
    <row r="47" spans="1:34" ht="11.25">
      <c r="A47" s="74" t="s">
        <v>163</v>
      </c>
      <c r="B47" s="73">
        <v>23</v>
      </c>
      <c r="C47" s="74">
        <v>43</v>
      </c>
      <c r="D47" s="75">
        <f t="shared" si="5"/>
        <v>236.78488372093022</v>
      </c>
      <c r="E47" s="77">
        <v>229</v>
      </c>
      <c r="F47" s="78">
        <v>84944</v>
      </c>
      <c r="G47" s="77">
        <v>6511</v>
      </c>
      <c r="H47" s="77">
        <v>14084</v>
      </c>
      <c r="I47" s="77">
        <v>2241</v>
      </c>
      <c r="J47" s="77"/>
      <c r="K47" s="77"/>
      <c r="L47" s="77">
        <v>4292</v>
      </c>
      <c r="M47" s="77"/>
      <c r="N47" s="77">
        <v>1000</v>
      </c>
      <c r="O47" s="77">
        <v>2832</v>
      </c>
      <c r="P47" s="75"/>
      <c r="Q47" s="77">
        <v>100</v>
      </c>
      <c r="R47" s="77">
        <v>800</v>
      </c>
      <c r="S47" s="77"/>
      <c r="T47" s="77"/>
      <c r="U47" s="77"/>
      <c r="V47" s="77"/>
      <c r="W47" s="77"/>
      <c r="X47" s="77"/>
      <c r="Y47" s="77"/>
      <c r="Z47" s="77">
        <v>5148</v>
      </c>
      <c r="AA47" s="77"/>
      <c r="AB47" s="77"/>
      <c r="AC47" s="77"/>
      <c r="AD47" s="77"/>
      <c r="AE47" s="77"/>
      <c r="AF47" s="77"/>
      <c r="AG47" s="77">
        <f t="shared" si="6"/>
        <v>6421</v>
      </c>
      <c r="AH47" s="76">
        <f t="shared" si="7"/>
        <v>122181</v>
      </c>
    </row>
    <row r="48" spans="1:34" ht="11.25">
      <c r="A48" s="74" t="s">
        <v>164</v>
      </c>
      <c r="B48" s="73">
        <v>26</v>
      </c>
      <c r="C48" s="74">
        <v>25</v>
      </c>
      <c r="D48" s="75">
        <f t="shared" si="5"/>
        <v>236.13666666666666</v>
      </c>
      <c r="E48" s="77">
        <v>134</v>
      </c>
      <c r="F48" s="78">
        <v>48754</v>
      </c>
      <c r="G48" s="77">
        <v>3674</v>
      </c>
      <c r="H48" s="77">
        <v>8074</v>
      </c>
      <c r="I48" s="77">
        <v>1284</v>
      </c>
      <c r="J48" s="77"/>
      <c r="K48" s="77"/>
      <c r="L48" s="77">
        <v>3850</v>
      </c>
      <c r="M48" s="77"/>
      <c r="N48" s="77">
        <v>500</v>
      </c>
      <c r="O48" s="77">
        <v>1847</v>
      </c>
      <c r="P48" s="75"/>
      <c r="Q48" s="77"/>
      <c r="R48" s="77">
        <v>50</v>
      </c>
      <c r="S48" s="74"/>
      <c r="T48" s="74"/>
      <c r="U48" s="74">
        <v>100</v>
      </c>
      <c r="V48" s="74"/>
      <c r="W48" s="74"/>
      <c r="X48" s="74"/>
      <c r="Y48" s="77"/>
      <c r="Z48" s="77">
        <v>2574</v>
      </c>
      <c r="AA48" s="77"/>
      <c r="AB48" s="77"/>
      <c r="AC48" s="77"/>
      <c r="AD48" s="77"/>
      <c r="AE48" s="77"/>
      <c r="AF48" s="77"/>
      <c r="AG48" s="77">
        <f t="shared" si="6"/>
        <v>4634</v>
      </c>
      <c r="AH48" s="76">
        <f t="shared" si="7"/>
        <v>70841</v>
      </c>
    </row>
    <row r="49" spans="1:34" ht="11.25">
      <c r="A49" s="74" t="s">
        <v>166</v>
      </c>
      <c r="B49" s="73">
        <v>29</v>
      </c>
      <c r="C49" s="74">
        <v>34</v>
      </c>
      <c r="D49" s="75">
        <f t="shared" si="5"/>
        <v>391.22794117647055</v>
      </c>
      <c r="E49" s="77">
        <v>369</v>
      </c>
      <c r="F49" s="78">
        <v>111276</v>
      </c>
      <c r="G49" s="77">
        <v>9353</v>
      </c>
      <c r="H49" s="77">
        <v>18577</v>
      </c>
      <c r="I49" s="77">
        <v>2955</v>
      </c>
      <c r="J49" s="77"/>
      <c r="K49" s="77"/>
      <c r="L49" s="77">
        <v>1996</v>
      </c>
      <c r="M49" s="77"/>
      <c r="N49" s="77">
        <v>400</v>
      </c>
      <c r="O49" s="77">
        <v>6346</v>
      </c>
      <c r="P49" s="75">
        <v>300</v>
      </c>
      <c r="Q49" s="77"/>
      <c r="R49" s="77">
        <v>1900</v>
      </c>
      <c r="S49" s="77"/>
      <c r="T49" s="77"/>
      <c r="U49" s="77"/>
      <c r="V49" s="77"/>
      <c r="W49" s="77"/>
      <c r="X49" s="74">
        <v>200</v>
      </c>
      <c r="Y49" s="77"/>
      <c r="Z49" s="77">
        <v>5949</v>
      </c>
      <c r="AA49" s="77"/>
      <c r="AB49" s="77"/>
      <c r="AC49" s="77"/>
      <c r="AD49" s="77"/>
      <c r="AE49" s="77"/>
      <c r="AF49" s="77"/>
      <c r="AG49" s="77">
        <f t="shared" si="6"/>
        <v>5165</v>
      </c>
      <c r="AH49" s="76">
        <f t="shared" si="7"/>
        <v>159621</v>
      </c>
    </row>
    <row r="50" spans="1:34" ht="11.25">
      <c r="A50" s="74" t="s">
        <v>167</v>
      </c>
      <c r="B50" s="73">
        <v>31</v>
      </c>
      <c r="C50" s="74">
        <v>70</v>
      </c>
      <c r="D50" s="75">
        <f t="shared" si="5"/>
        <v>219.03214285714284</v>
      </c>
      <c r="E50" s="77">
        <v>315</v>
      </c>
      <c r="F50" s="78">
        <v>108214</v>
      </c>
      <c r="G50" s="77">
        <v>8705</v>
      </c>
      <c r="H50" s="77">
        <v>18006</v>
      </c>
      <c r="I50" s="77">
        <v>2865</v>
      </c>
      <c r="J50" s="77"/>
      <c r="K50" s="77"/>
      <c r="L50" s="77">
        <v>3060</v>
      </c>
      <c r="M50" s="77"/>
      <c r="N50" s="77">
        <v>2000</v>
      </c>
      <c r="O50" s="77">
        <v>30600</v>
      </c>
      <c r="P50" s="75"/>
      <c r="Q50" s="77"/>
      <c r="R50" s="77">
        <v>2500</v>
      </c>
      <c r="S50" s="77"/>
      <c r="T50" s="77"/>
      <c r="U50" s="77"/>
      <c r="V50" s="77"/>
      <c r="W50" s="77"/>
      <c r="X50" s="74"/>
      <c r="Y50" s="77"/>
      <c r="Z50" s="77">
        <v>7722</v>
      </c>
      <c r="AA50" s="77"/>
      <c r="AB50" s="77"/>
      <c r="AC50" s="77"/>
      <c r="AD50" s="77"/>
      <c r="AE50" s="77"/>
      <c r="AF50" s="77"/>
      <c r="AG50" s="77">
        <f t="shared" si="6"/>
        <v>7875</v>
      </c>
      <c r="AH50" s="76">
        <f t="shared" si="7"/>
        <v>183987</v>
      </c>
    </row>
    <row r="51" spans="1:34" ht="11.25">
      <c r="A51" s="74" t="s">
        <v>169</v>
      </c>
      <c r="B51" s="73">
        <v>34</v>
      </c>
      <c r="C51" s="74">
        <v>25</v>
      </c>
      <c r="D51" s="75">
        <f t="shared" si="5"/>
        <v>422.49</v>
      </c>
      <c r="E51" s="77">
        <v>240</v>
      </c>
      <c r="F51" s="78">
        <v>83567</v>
      </c>
      <c r="G51" s="77">
        <v>7942</v>
      </c>
      <c r="H51" s="77">
        <v>14092</v>
      </c>
      <c r="I51" s="77">
        <v>2242</v>
      </c>
      <c r="J51" s="77"/>
      <c r="K51" s="77"/>
      <c r="L51" s="77">
        <v>2000</v>
      </c>
      <c r="M51" s="77"/>
      <c r="N51" s="77">
        <v>500</v>
      </c>
      <c r="O51" s="77">
        <v>8887</v>
      </c>
      <c r="P51" s="75"/>
      <c r="Q51" s="77"/>
      <c r="R51" s="77">
        <v>2000</v>
      </c>
      <c r="S51" s="77"/>
      <c r="T51" s="77"/>
      <c r="U51" s="77"/>
      <c r="V51" s="77"/>
      <c r="W51" s="77"/>
      <c r="X51" s="74"/>
      <c r="Y51" s="77"/>
      <c r="Z51" s="77">
        <v>5277</v>
      </c>
      <c r="AA51" s="77"/>
      <c r="AB51" s="77"/>
      <c r="AC51" s="77"/>
      <c r="AD51" s="77"/>
      <c r="AE51" s="77"/>
      <c r="AF51" s="77"/>
      <c r="AG51" s="77">
        <f t="shared" si="6"/>
        <v>4740</v>
      </c>
      <c r="AH51" s="76">
        <f t="shared" si="7"/>
        <v>126747</v>
      </c>
    </row>
    <row r="52" spans="1:34" ht="11.25">
      <c r="A52" s="74" t="s">
        <v>170</v>
      </c>
      <c r="B52" s="73">
        <v>35</v>
      </c>
      <c r="C52" s="74">
        <v>53</v>
      </c>
      <c r="D52" s="75">
        <f t="shared" si="5"/>
        <v>212.82704402515722</v>
      </c>
      <c r="E52" s="77">
        <v>259</v>
      </c>
      <c r="F52" s="78">
        <v>94220</v>
      </c>
      <c r="G52" s="77">
        <v>7540</v>
      </c>
      <c r="H52" s="77">
        <v>15671</v>
      </c>
      <c r="I52" s="77">
        <v>2493</v>
      </c>
      <c r="J52" s="77"/>
      <c r="K52" s="77"/>
      <c r="L52" s="77">
        <v>5500</v>
      </c>
      <c r="M52" s="77"/>
      <c r="N52" s="77"/>
      <c r="O52" s="77">
        <v>2163</v>
      </c>
      <c r="P52" s="75"/>
      <c r="Q52" s="77">
        <v>500</v>
      </c>
      <c r="R52" s="77">
        <f>1188+144</f>
        <v>1332</v>
      </c>
      <c r="S52" s="77"/>
      <c r="T52" s="77"/>
      <c r="U52" s="77">
        <v>300</v>
      </c>
      <c r="V52" s="77"/>
      <c r="W52" s="77"/>
      <c r="X52" s="74"/>
      <c r="Y52" s="77"/>
      <c r="Z52" s="77">
        <v>5380</v>
      </c>
      <c r="AA52" s="77"/>
      <c r="AB52" s="77"/>
      <c r="AC52" s="77"/>
      <c r="AD52" s="77"/>
      <c r="AE52" s="77"/>
      <c r="AF52" s="77"/>
      <c r="AG52" s="77">
        <f t="shared" si="6"/>
        <v>7891</v>
      </c>
      <c r="AH52" s="76">
        <f t="shared" si="7"/>
        <v>135358</v>
      </c>
    </row>
    <row r="53" spans="1:34" ht="11.25">
      <c r="A53" s="74" t="s">
        <v>171</v>
      </c>
      <c r="B53" s="73">
        <v>37</v>
      </c>
      <c r="C53" s="74">
        <v>8</v>
      </c>
      <c r="D53" s="75">
        <f t="shared" si="5"/>
        <v>533.1875</v>
      </c>
      <c r="E53" s="77">
        <v>98</v>
      </c>
      <c r="F53" s="78">
        <v>30903</v>
      </c>
      <c r="G53" s="77">
        <v>6538</v>
      </c>
      <c r="H53" s="77">
        <v>5766</v>
      </c>
      <c r="I53" s="77">
        <v>917</v>
      </c>
      <c r="J53" s="77"/>
      <c r="K53" s="77"/>
      <c r="L53" s="77">
        <v>540</v>
      </c>
      <c r="M53" s="77"/>
      <c r="N53" s="77">
        <v>450</v>
      </c>
      <c r="O53" s="77">
        <v>2950</v>
      </c>
      <c r="P53" s="75"/>
      <c r="Q53" s="77"/>
      <c r="R53" s="77">
        <v>450</v>
      </c>
      <c r="S53" s="77"/>
      <c r="T53" s="77"/>
      <c r="U53" s="77"/>
      <c r="V53" s="77"/>
      <c r="W53" s="77"/>
      <c r="X53" s="74"/>
      <c r="Y53" s="77"/>
      <c r="Z53" s="77">
        <v>2574</v>
      </c>
      <c r="AA53" s="77"/>
      <c r="AB53" s="77"/>
      <c r="AC53" s="77"/>
      <c r="AD53" s="77"/>
      <c r="AE53" s="77"/>
      <c r="AF53" s="77"/>
      <c r="AG53" s="77">
        <f t="shared" si="6"/>
        <v>1538</v>
      </c>
      <c r="AH53" s="76">
        <f t="shared" si="7"/>
        <v>51186</v>
      </c>
    </row>
    <row r="54" spans="1:34" ht="11.25">
      <c r="A54" s="74" t="s">
        <v>173</v>
      </c>
      <c r="B54" s="73">
        <v>40</v>
      </c>
      <c r="C54" s="74">
        <v>88</v>
      </c>
      <c r="D54" s="75">
        <f t="shared" si="5"/>
        <v>193.94318181818184</v>
      </c>
      <c r="E54" s="77">
        <v>414</v>
      </c>
      <c r="F54" s="78">
        <v>136861</v>
      </c>
      <c r="G54" s="77">
        <v>11237</v>
      </c>
      <c r="H54" s="77">
        <v>22344</v>
      </c>
      <c r="I54" s="77">
        <v>3555</v>
      </c>
      <c r="J54" s="77"/>
      <c r="K54" s="77"/>
      <c r="L54" s="77">
        <v>4159</v>
      </c>
      <c r="M54" s="77"/>
      <c r="N54" s="77">
        <v>200</v>
      </c>
      <c r="O54" s="77">
        <v>12698</v>
      </c>
      <c r="P54" s="75">
        <v>400</v>
      </c>
      <c r="Q54" s="77">
        <v>140</v>
      </c>
      <c r="R54" s="77">
        <v>3780</v>
      </c>
      <c r="S54" s="77"/>
      <c r="T54" s="77">
        <v>760</v>
      </c>
      <c r="U54" s="77"/>
      <c r="V54" s="77"/>
      <c r="W54" s="77"/>
      <c r="X54" s="74"/>
      <c r="Y54" s="77"/>
      <c r="Z54" s="77">
        <v>8256</v>
      </c>
      <c r="AA54" s="77"/>
      <c r="AB54" s="77"/>
      <c r="AC54" s="77"/>
      <c r="AD54" s="77"/>
      <c r="AE54" s="77"/>
      <c r="AF54" s="77"/>
      <c r="AG54" s="77">
        <f t="shared" si="6"/>
        <v>9853</v>
      </c>
      <c r="AH54" s="76">
        <f t="shared" si="7"/>
        <v>204804</v>
      </c>
    </row>
    <row r="55" spans="1:34" ht="11.25">
      <c r="A55" s="74" t="s">
        <v>174</v>
      </c>
      <c r="B55" s="73">
        <v>42</v>
      </c>
      <c r="C55" s="74">
        <v>44</v>
      </c>
      <c r="D55" s="75">
        <f t="shared" si="5"/>
        <v>228.39393939393938</v>
      </c>
      <c r="E55" s="77">
        <v>215</v>
      </c>
      <c r="F55" s="78">
        <v>83608</v>
      </c>
      <c r="G55" s="77">
        <v>6064</v>
      </c>
      <c r="H55" s="77">
        <v>13809</v>
      </c>
      <c r="I55" s="77">
        <v>2197</v>
      </c>
      <c r="J55" s="77"/>
      <c r="K55" s="77"/>
      <c r="L55" s="77">
        <v>1608</v>
      </c>
      <c r="M55" s="77"/>
      <c r="N55" s="77">
        <v>500</v>
      </c>
      <c r="O55" s="77">
        <v>3743</v>
      </c>
      <c r="P55" s="75"/>
      <c r="Q55" s="77"/>
      <c r="R55" s="77">
        <v>3700</v>
      </c>
      <c r="S55" s="77"/>
      <c r="T55" s="77"/>
      <c r="U55" s="77"/>
      <c r="V55" s="77"/>
      <c r="W55" s="77"/>
      <c r="X55" s="74"/>
      <c r="Y55" s="77"/>
      <c r="Z55" s="77">
        <v>5148</v>
      </c>
      <c r="AA55" s="77"/>
      <c r="AB55" s="77"/>
      <c r="AC55" s="77"/>
      <c r="AD55" s="77"/>
      <c r="AE55" s="77"/>
      <c r="AF55" s="77"/>
      <c r="AG55" s="77">
        <f t="shared" si="6"/>
        <v>6023</v>
      </c>
      <c r="AH55" s="76">
        <f t="shared" si="7"/>
        <v>120592</v>
      </c>
    </row>
    <row r="56" spans="1:34" ht="11.25">
      <c r="A56" s="74" t="s">
        <v>175</v>
      </c>
      <c r="B56" s="73">
        <v>43</v>
      </c>
      <c r="C56" s="74">
        <v>47</v>
      </c>
      <c r="D56" s="75">
        <f t="shared" si="5"/>
        <v>255.48936170212767</v>
      </c>
      <c r="E56" s="77">
        <v>669</v>
      </c>
      <c r="F56" s="78">
        <v>96553</v>
      </c>
      <c r="G56" s="77">
        <v>7775</v>
      </c>
      <c r="H56" s="77">
        <v>16067</v>
      </c>
      <c r="I56" s="77">
        <v>2556</v>
      </c>
      <c r="J56" s="77"/>
      <c r="K56" s="77"/>
      <c r="L56" s="77">
        <v>3204</v>
      </c>
      <c r="M56" s="77"/>
      <c r="N56" s="77">
        <v>500</v>
      </c>
      <c r="O56" s="77">
        <v>9524</v>
      </c>
      <c r="P56" s="75">
        <v>700</v>
      </c>
      <c r="Q56" s="77">
        <v>400</v>
      </c>
      <c r="R56" s="77">
        <v>1000</v>
      </c>
      <c r="S56" s="77"/>
      <c r="T56" s="77"/>
      <c r="U56" s="77"/>
      <c r="V56" s="77"/>
      <c r="W56" s="77"/>
      <c r="X56" s="74"/>
      <c r="Y56" s="77"/>
      <c r="Z56" s="77">
        <v>5148</v>
      </c>
      <c r="AA56" s="77"/>
      <c r="AB56" s="77"/>
      <c r="AC56" s="77"/>
      <c r="AD56" s="77"/>
      <c r="AE56" s="77"/>
      <c r="AF56" s="77"/>
      <c r="AG56" s="77">
        <f t="shared" si="6"/>
        <v>6473</v>
      </c>
      <c r="AH56" s="76">
        <f t="shared" si="7"/>
        <v>144096</v>
      </c>
    </row>
    <row r="57" spans="1:34" ht="11.25">
      <c r="A57" s="74" t="s">
        <v>177</v>
      </c>
      <c r="B57" s="73">
        <v>45</v>
      </c>
      <c r="C57" s="74">
        <v>45</v>
      </c>
      <c r="D57" s="75">
        <f t="shared" si="5"/>
        <v>321.39444444444445</v>
      </c>
      <c r="E57" s="77">
        <v>339</v>
      </c>
      <c r="F57" s="78">
        <v>120264</v>
      </c>
      <c r="G57" s="77">
        <v>8700</v>
      </c>
      <c r="H57" s="77">
        <v>19860</v>
      </c>
      <c r="I57" s="77">
        <v>3160</v>
      </c>
      <c r="J57" s="77"/>
      <c r="K57" s="77"/>
      <c r="L57" s="77">
        <v>4070</v>
      </c>
      <c r="M57" s="77"/>
      <c r="N57" s="77">
        <v>880</v>
      </c>
      <c r="O57" s="77">
        <v>5176</v>
      </c>
      <c r="P57" s="75"/>
      <c r="Q57" s="77"/>
      <c r="R57" s="77">
        <v>3150</v>
      </c>
      <c r="S57" s="77"/>
      <c r="T57" s="77"/>
      <c r="U57" s="77"/>
      <c r="V57" s="77"/>
      <c r="W57" s="77"/>
      <c r="X57" s="74"/>
      <c r="Y57" s="77"/>
      <c r="Z57" s="77">
        <v>7954</v>
      </c>
      <c r="AA57" s="77"/>
      <c r="AB57" s="77"/>
      <c r="AC57" s="77"/>
      <c r="AD57" s="77"/>
      <c r="AE57" s="77"/>
      <c r="AF57" s="77"/>
      <c r="AG57" s="77">
        <f t="shared" si="6"/>
        <v>8439</v>
      </c>
      <c r="AH57" s="76">
        <f t="shared" si="7"/>
        <v>173553</v>
      </c>
    </row>
    <row r="58" spans="1:34" ht="11.25">
      <c r="A58" s="86" t="s">
        <v>178</v>
      </c>
      <c r="B58" s="73">
        <v>46</v>
      </c>
      <c r="C58" s="74">
        <v>86</v>
      </c>
      <c r="D58" s="75">
        <f t="shared" si="5"/>
        <v>199.625</v>
      </c>
      <c r="E58" s="77">
        <v>383</v>
      </c>
      <c r="F58" s="78">
        <v>143362</v>
      </c>
      <c r="G58" s="77">
        <v>9600</v>
      </c>
      <c r="H58" s="77">
        <v>23556</v>
      </c>
      <c r="I58" s="77">
        <v>3748</v>
      </c>
      <c r="J58" s="77"/>
      <c r="K58" s="77"/>
      <c r="L58" s="77">
        <v>5488</v>
      </c>
      <c r="M58" s="77"/>
      <c r="N58" s="77">
        <v>1500</v>
      </c>
      <c r="O58" s="77">
        <v>8354</v>
      </c>
      <c r="P58" s="75">
        <v>800</v>
      </c>
      <c r="Q58" s="77"/>
      <c r="R58" s="77">
        <v>1500</v>
      </c>
      <c r="S58" s="77"/>
      <c r="T58" s="77"/>
      <c r="U58" s="77"/>
      <c r="V58" s="77"/>
      <c r="W58" s="77"/>
      <c r="X58" s="74"/>
      <c r="Y58" s="77"/>
      <c r="Z58" s="77">
        <v>7722</v>
      </c>
      <c r="AA58" s="77"/>
      <c r="AB58" s="77"/>
      <c r="AC58" s="77"/>
      <c r="AD58" s="77"/>
      <c r="AE58" s="77"/>
      <c r="AF58" s="77"/>
      <c r="AG58" s="77">
        <f t="shared" si="6"/>
        <v>9671</v>
      </c>
      <c r="AH58" s="76">
        <f t="shared" si="7"/>
        <v>206013</v>
      </c>
    </row>
    <row r="59" spans="1:34" ht="11.25">
      <c r="A59" s="86" t="s">
        <v>179</v>
      </c>
      <c r="B59" s="73">
        <v>47</v>
      </c>
      <c r="C59" s="74">
        <v>80</v>
      </c>
      <c r="D59" s="75">
        <f t="shared" si="5"/>
        <v>366.1166666666666</v>
      </c>
      <c r="E59" s="77">
        <v>1880</v>
      </c>
      <c r="F59" s="78">
        <v>244149</v>
      </c>
      <c r="G59" s="77">
        <v>14757</v>
      </c>
      <c r="H59" s="77">
        <v>39872</v>
      </c>
      <c r="I59" s="77">
        <v>6343</v>
      </c>
      <c r="J59" s="77"/>
      <c r="K59" s="77"/>
      <c r="L59" s="77">
        <v>5300</v>
      </c>
      <c r="M59" s="77"/>
      <c r="N59" s="77">
        <v>2000</v>
      </c>
      <c r="O59" s="77">
        <v>21587</v>
      </c>
      <c r="P59" s="75"/>
      <c r="Q59" s="77"/>
      <c r="R59" s="77">
        <v>140</v>
      </c>
      <c r="S59" s="77"/>
      <c r="T59" s="77"/>
      <c r="U59" s="77"/>
      <c r="V59" s="77"/>
      <c r="W59" s="77"/>
      <c r="X59" s="77"/>
      <c r="Y59" s="77"/>
      <c r="Z59" s="77">
        <v>15444</v>
      </c>
      <c r="AA59" s="77"/>
      <c r="AB59" s="77"/>
      <c r="AC59" s="77"/>
      <c r="AD59" s="77"/>
      <c r="AE59" s="77"/>
      <c r="AF59" s="77"/>
      <c r="AG59" s="77">
        <f t="shared" si="6"/>
        <v>9320</v>
      </c>
      <c r="AH59" s="76">
        <f t="shared" si="7"/>
        <v>351472</v>
      </c>
    </row>
    <row r="60" spans="1:34" ht="11.25">
      <c r="A60" s="86" t="s">
        <v>180</v>
      </c>
      <c r="B60" s="73">
        <v>48</v>
      </c>
      <c r="C60" s="74">
        <v>42</v>
      </c>
      <c r="D60" s="75">
        <f t="shared" si="5"/>
        <v>187.47619047619048</v>
      </c>
      <c r="E60" s="77">
        <v>203</v>
      </c>
      <c r="F60" s="78">
        <v>64650</v>
      </c>
      <c r="G60" s="77">
        <v>4126</v>
      </c>
      <c r="H60" s="77">
        <v>10592</v>
      </c>
      <c r="I60" s="77">
        <v>1685</v>
      </c>
      <c r="J60" s="77"/>
      <c r="K60" s="77"/>
      <c r="L60" s="77">
        <v>2736</v>
      </c>
      <c r="M60" s="77"/>
      <c r="N60" s="77">
        <v>1000</v>
      </c>
      <c r="O60" s="77">
        <v>2540</v>
      </c>
      <c r="P60" s="75"/>
      <c r="Q60" s="77"/>
      <c r="R60" s="74">
        <v>1808</v>
      </c>
      <c r="S60" s="74"/>
      <c r="T60" s="74"/>
      <c r="U60" s="74"/>
      <c r="V60" s="74"/>
      <c r="W60" s="74"/>
      <c r="X60" s="74"/>
      <c r="Y60" s="77"/>
      <c r="Z60" s="77">
        <v>5148</v>
      </c>
      <c r="AA60" s="77"/>
      <c r="AB60" s="77"/>
      <c r="AC60" s="77"/>
      <c r="AD60" s="77"/>
      <c r="AE60" s="77"/>
      <c r="AF60" s="77"/>
      <c r="AG60" s="77">
        <f t="shared" si="6"/>
        <v>5747</v>
      </c>
      <c r="AH60" s="76">
        <f t="shared" si="7"/>
        <v>94488</v>
      </c>
    </row>
    <row r="61" spans="1:34" ht="11.25">
      <c r="A61" s="80" t="s">
        <v>185</v>
      </c>
      <c r="B61" s="80"/>
      <c r="C61" s="76">
        <f>SUM(C38:C60)</f>
        <v>976</v>
      </c>
      <c r="D61" s="81">
        <f t="shared" si="5"/>
        <v>261.42921789617486</v>
      </c>
      <c r="E61" s="76">
        <f aca="true" t="shared" si="8" ref="E61:AG61">SUM(E38:E60)</f>
        <v>7416</v>
      </c>
      <c r="F61" s="82">
        <f t="shared" si="8"/>
        <v>2060090</v>
      </c>
      <c r="G61" s="76">
        <f t="shared" si="8"/>
        <v>160950</v>
      </c>
      <c r="H61" s="76">
        <f t="shared" si="8"/>
        <v>341577</v>
      </c>
      <c r="I61" s="76">
        <f t="shared" si="8"/>
        <v>54343</v>
      </c>
      <c r="J61" s="76">
        <f t="shared" si="8"/>
        <v>0</v>
      </c>
      <c r="K61" s="76">
        <f t="shared" si="8"/>
        <v>0</v>
      </c>
      <c r="L61" s="76">
        <f t="shared" si="8"/>
        <v>66277</v>
      </c>
      <c r="M61" s="76">
        <f t="shared" si="8"/>
        <v>0</v>
      </c>
      <c r="N61" s="76">
        <f t="shared" si="8"/>
        <v>22230</v>
      </c>
      <c r="O61" s="76">
        <f t="shared" si="8"/>
        <v>178631</v>
      </c>
      <c r="P61" s="76">
        <f t="shared" si="8"/>
        <v>2200</v>
      </c>
      <c r="Q61" s="76">
        <f t="shared" si="8"/>
        <v>1320</v>
      </c>
      <c r="R61" s="76">
        <f t="shared" si="8"/>
        <v>37864</v>
      </c>
      <c r="S61" s="76">
        <f t="shared" si="8"/>
        <v>0</v>
      </c>
      <c r="T61" s="76">
        <f t="shared" si="8"/>
        <v>1060</v>
      </c>
      <c r="U61" s="76">
        <f t="shared" si="8"/>
        <v>1050</v>
      </c>
      <c r="V61" s="76">
        <f t="shared" si="8"/>
        <v>0</v>
      </c>
      <c r="W61" s="76">
        <f t="shared" si="8"/>
        <v>0</v>
      </c>
      <c r="X61" s="76">
        <f t="shared" si="8"/>
        <v>200</v>
      </c>
      <c r="Y61" s="76">
        <f t="shared" si="8"/>
        <v>0</v>
      </c>
      <c r="Z61" s="76">
        <f t="shared" si="8"/>
        <v>126651</v>
      </c>
      <c r="AA61" s="76">
        <f t="shared" si="8"/>
        <v>0</v>
      </c>
      <c r="AB61" s="76">
        <f t="shared" si="8"/>
        <v>0</v>
      </c>
      <c r="AC61" s="76">
        <f t="shared" si="8"/>
        <v>0</v>
      </c>
      <c r="AD61" s="76">
        <f t="shared" si="8"/>
        <v>0</v>
      </c>
      <c r="AE61" s="76">
        <f t="shared" si="8"/>
        <v>0</v>
      </c>
      <c r="AF61" s="76">
        <f t="shared" si="8"/>
        <v>0</v>
      </c>
      <c r="AG61" s="76">
        <f t="shared" si="8"/>
        <v>139617</v>
      </c>
      <c r="AH61" s="76">
        <f>SUM(AH38:AH60)</f>
        <v>3061859</v>
      </c>
    </row>
    <row r="62" spans="1:34" ht="11.25">
      <c r="A62" s="93" t="s">
        <v>186</v>
      </c>
      <c r="B62" s="94" t="s">
        <v>187</v>
      </c>
      <c r="C62" s="74">
        <v>554</v>
      </c>
      <c r="D62" s="75">
        <f t="shared" si="5"/>
        <v>519.4944344163658</v>
      </c>
      <c r="E62" s="77">
        <v>7317</v>
      </c>
      <c r="F62" s="78">
        <f>2421677-100000</f>
        <v>2321677</v>
      </c>
      <c r="G62" s="77">
        <v>198682</v>
      </c>
      <c r="H62" s="77">
        <v>417514</v>
      </c>
      <c r="I62" s="77">
        <v>66423</v>
      </c>
      <c r="J62" s="77"/>
      <c r="K62" s="77"/>
      <c r="L62" s="77">
        <v>28000</v>
      </c>
      <c r="M62" s="77"/>
      <c r="N62" s="77">
        <v>2500</v>
      </c>
      <c r="O62" s="77">
        <v>174250</v>
      </c>
      <c r="P62" s="75">
        <f>3000+50000</f>
        <v>53000</v>
      </c>
      <c r="Q62" s="77">
        <v>2700</v>
      </c>
      <c r="R62" s="77">
        <v>32000</v>
      </c>
      <c r="S62" s="77">
        <v>6360</v>
      </c>
      <c r="T62" s="77"/>
      <c r="U62" s="77">
        <v>4100</v>
      </c>
      <c r="V62" s="77"/>
      <c r="W62" s="77"/>
      <c r="X62" s="77"/>
      <c r="Y62" s="77"/>
      <c r="Z62" s="77">
        <v>139076</v>
      </c>
      <c r="AA62" s="77"/>
      <c r="AB62" s="77"/>
      <c r="AC62" s="77"/>
      <c r="AD62" s="77"/>
      <c r="AE62" s="77"/>
      <c r="AF62" s="77"/>
      <c r="AG62" s="77">
        <f aca="true" t="shared" si="9" ref="AG62:AG83">E62+J62+K62+L62+N62+P62+Q62+R62+S62+X62+Y62+T62+U62+V62+AD62+AA62+W62</f>
        <v>135977</v>
      </c>
      <c r="AH62" s="76">
        <f aca="true" t="shared" si="10" ref="AH62:AH83">SUM(E62:AF62)</f>
        <v>3453599</v>
      </c>
    </row>
    <row r="63" spans="1:34" ht="11.25">
      <c r="A63" s="93" t="s">
        <v>188</v>
      </c>
      <c r="B63" s="94" t="s">
        <v>189</v>
      </c>
      <c r="C63" s="74">
        <v>320</v>
      </c>
      <c r="D63" s="75">
        <f t="shared" si="5"/>
        <v>624.15390625</v>
      </c>
      <c r="E63" s="77">
        <v>5374</v>
      </c>
      <c r="F63" s="78">
        <f>1579352-80000</f>
        <v>1499352</v>
      </c>
      <c r="G63" s="77">
        <v>123263</v>
      </c>
      <c r="H63" s="77">
        <v>269807</v>
      </c>
      <c r="I63" s="77">
        <v>42924</v>
      </c>
      <c r="J63" s="77">
        <v>13000</v>
      </c>
      <c r="K63" s="77">
        <v>5400</v>
      </c>
      <c r="L63" s="77">
        <f>203557+1500</f>
        <v>205057</v>
      </c>
      <c r="M63" s="77"/>
      <c r="N63" s="77">
        <v>2000</v>
      </c>
      <c r="O63" s="77">
        <v>36435</v>
      </c>
      <c r="P63" s="75">
        <v>70000</v>
      </c>
      <c r="Q63" s="77">
        <v>2180</v>
      </c>
      <c r="R63" s="77">
        <v>28650</v>
      </c>
      <c r="S63" s="77">
        <v>1500</v>
      </c>
      <c r="T63" s="77"/>
      <c r="U63" s="77">
        <v>2500</v>
      </c>
      <c r="V63" s="77"/>
      <c r="W63" s="77"/>
      <c r="X63" s="77"/>
      <c r="Y63" s="77">
        <v>600</v>
      </c>
      <c r="Z63" s="77">
        <v>86709</v>
      </c>
      <c r="AA63" s="77"/>
      <c r="AB63" s="77"/>
      <c r="AC63" s="77"/>
      <c r="AD63" s="77">
        <v>2000</v>
      </c>
      <c r="AE63" s="77"/>
      <c r="AF63" s="77"/>
      <c r="AG63" s="77">
        <f t="shared" si="9"/>
        <v>338261</v>
      </c>
      <c r="AH63" s="76">
        <f t="shared" si="10"/>
        <v>2396751</v>
      </c>
    </row>
    <row r="64" spans="1:34" ht="11.25">
      <c r="A64" s="93" t="s">
        <v>190</v>
      </c>
      <c r="B64" s="94" t="s">
        <v>191</v>
      </c>
      <c r="C64" s="74">
        <v>200</v>
      </c>
      <c r="D64" s="75">
        <f t="shared" si="5"/>
        <v>1102.8429166666667</v>
      </c>
      <c r="E64" s="77">
        <v>6040</v>
      </c>
      <c r="F64" s="78">
        <f>1804688-80000</f>
        <v>1724688</v>
      </c>
      <c r="G64" s="77">
        <v>154599</v>
      </c>
      <c r="H64" s="77">
        <v>312189</v>
      </c>
      <c r="I64" s="77">
        <v>49666</v>
      </c>
      <c r="J64" s="77"/>
      <c r="K64" s="77">
        <v>2000</v>
      </c>
      <c r="L64" s="77">
        <f>8915+4000</f>
        <v>12915</v>
      </c>
      <c r="M64" s="77"/>
      <c r="N64" s="77">
        <f>2000+1500</f>
        <v>3500</v>
      </c>
      <c r="O64" s="77">
        <v>165640</v>
      </c>
      <c r="P64" s="75">
        <v>80000</v>
      </c>
      <c r="Q64" s="77">
        <v>985</v>
      </c>
      <c r="R64" s="77">
        <v>20900</v>
      </c>
      <c r="S64" s="77">
        <v>1440</v>
      </c>
      <c r="T64" s="77">
        <v>3200</v>
      </c>
      <c r="U64" s="77">
        <v>2400</v>
      </c>
      <c r="V64" s="77"/>
      <c r="W64" s="77"/>
      <c r="X64" s="77">
        <v>200</v>
      </c>
      <c r="Y64" s="77"/>
      <c r="Z64" s="77">
        <v>106461</v>
      </c>
      <c r="AA64" s="77"/>
      <c r="AB64" s="77"/>
      <c r="AC64" s="77"/>
      <c r="AD64" s="77"/>
      <c r="AE64" s="77"/>
      <c r="AF64" s="77"/>
      <c r="AG64" s="77">
        <f t="shared" si="9"/>
        <v>133580</v>
      </c>
      <c r="AH64" s="76">
        <f t="shared" si="10"/>
        <v>2646823</v>
      </c>
    </row>
    <row r="65" spans="1:34" ht="11.25">
      <c r="A65" s="93" t="s">
        <v>192</v>
      </c>
      <c r="B65" s="94" t="s">
        <v>193</v>
      </c>
      <c r="C65" s="74">
        <v>390</v>
      </c>
      <c r="D65" s="75">
        <f t="shared" si="5"/>
        <v>704.2869658119658</v>
      </c>
      <c r="E65" s="77">
        <v>7589</v>
      </c>
      <c r="F65" s="78">
        <f>2242616-100000</f>
        <v>2142616</v>
      </c>
      <c r="G65" s="77">
        <v>193822</v>
      </c>
      <c r="H65" s="77">
        <v>388274</v>
      </c>
      <c r="I65" s="77">
        <v>61771</v>
      </c>
      <c r="J65" s="77"/>
      <c r="K65" s="77"/>
      <c r="L65" s="77">
        <f>14860+4500</f>
        <v>19360</v>
      </c>
      <c r="M65" s="77"/>
      <c r="N65" s="77">
        <f>2000+3000</f>
        <v>5000</v>
      </c>
      <c r="O65" s="77">
        <v>254908</v>
      </c>
      <c r="P65" s="75">
        <f>4000+50000</f>
        <v>54000</v>
      </c>
      <c r="Q65" s="77">
        <v>5600</v>
      </c>
      <c r="R65" s="77">
        <v>24900</v>
      </c>
      <c r="S65" s="77">
        <v>2000</v>
      </c>
      <c r="T65" s="77">
        <v>2100</v>
      </c>
      <c r="U65" s="77">
        <v>3500</v>
      </c>
      <c r="V65" s="77"/>
      <c r="W65" s="77"/>
      <c r="X65" s="74"/>
      <c r="Y65" s="77"/>
      <c r="Z65" s="77">
        <v>130623</v>
      </c>
      <c r="AA65" s="77"/>
      <c r="AB65" s="77"/>
      <c r="AC65" s="77"/>
      <c r="AD65" s="77"/>
      <c r="AE65" s="77"/>
      <c r="AF65" s="77"/>
      <c r="AG65" s="77">
        <f t="shared" si="9"/>
        <v>124049</v>
      </c>
      <c r="AH65" s="76">
        <f t="shared" si="10"/>
        <v>3296063</v>
      </c>
    </row>
    <row r="66" spans="1:34" ht="11.25">
      <c r="A66" s="93" t="s">
        <v>152</v>
      </c>
      <c r="B66" s="94" t="s">
        <v>194</v>
      </c>
      <c r="C66" s="74">
        <v>163</v>
      </c>
      <c r="D66" s="75">
        <f t="shared" si="5"/>
        <v>755.3374233128834</v>
      </c>
      <c r="E66" s="77">
        <v>3525</v>
      </c>
      <c r="F66" s="78">
        <f>1115476-80000</f>
        <v>1035476</v>
      </c>
      <c r="G66" s="77">
        <v>88650</v>
      </c>
      <c r="H66" s="77">
        <v>187545</v>
      </c>
      <c r="I66" s="77">
        <v>29837</v>
      </c>
      <c r="J66" s="77"/>
      <c r="K66" s="77"/>
      <c r="L66" s="77">
        <f>5000+2000+1500</f>
        <v>8500</v>
      </c>
      <c r="M66" s="77"/>
      <c r="N66" s="77">
        <v>600</v>
      </c>
      <c r="O66" s="77">
        <v>36177</v>
      </c>
      <c r="P66" s="75"/>
      <c r="Q66" s="77">
        <v>2500</v>
      </c>
      <c r="R66" s="77">
        <v>10936</v>
      </c>
      <c r="S66" s="77">
        <v>1000</v>
      </c>
      <c r="T66" s="77"/>
      <c r="U66" s="77">
        <v>2000</v>
      </c>
      <c r="V66" s="77"/>
      <c r="W66" s="77"/>
      <c r="X66" s="74"/>
      <c r="Y66" s="77"/>
      <c r="Z66" s="77">
        <v>70694</v>
      </c>
      <c r="AA66" s="77"/>
      <c r="AB66" s="77"/>
      <c r="AC66" s="77"/>
      <c r="AD66" s="77"/>
      <c r="AE66" s="77"/>
      <c r="AF66" s="77"/>
      <c r="AG66" s="77">
        <f t="shared" si="9"/>
        <v>29061</v>
      </c>
      <c r="AH66" s="76">
        <f t="shared" si="10"/>
        <v>1477440</v>
      </c>
    </row>
    <row r="67" spans="1:34" ht="11.25">
      <c r="A67" s="93" t="s">
        <v>154</v>
      </c>
      <c r="B67" s="94" t="s">
        <v>195</v>
      </c>
      <c r="C67" s="74">
        <v>175</v>
      </c>
      <c r="D67" s="75">
        <f t="shared" si="5"/>
        <v>783.942380952381</v>
      </c>
      <c r="E67" s="77">
        <v>3955</v>
      </c>
      <c r="F67" s="78">
        <f>1206937-80000</f>
        <v>1126937</v>
      </c>
      <c r="G67" s="77">
        <v>91941</v>
      </c>
      <c r="H67" s="77">
        <v>207075</v>
      </c>
      <c r="I67" s="77">
        <v>32944</v>
      </c>
      <c r="J67" s="77"/>
      <c r="K67" s="77"/>
      <c r="L67" s="77">
        <v>8900</v>
      </c>
      <c r="M67" s="77"/>
      <c r="N67" s="77">
        <v>500</v>
      </c>
      <c r="O67" s="77">
        <v>86570</v>
      </c>
      <c r="P67" s="75">
        <v>500</v>
      </c>
      <c r="Q67" s="77">
        <v>800</v>
      </c>
      <c r="R67" s="77">
        <v>9266</v>
      </c>
      <c r="S67" s="77">
        <v>800</v>
      </c>
      <c r="T67" s="77"/>
      <c r="U67" s="77">
        <v>3000</v>
      </c>
      <c r="V67" s="77"/>
      <c r="W67" s="77"/>
      <c r="X67" s="77">
        <v>500</v>
      </c>
      <c r="Y67" s="77">
        <v>1000</v>
      </c>
      <c r="Z67" s="77">
        <v>71591</v>
      </c>
      <c r="AA67" s="77"/>
      <c r="AB67" s="77"/>
      <c r="AC67" s="77"/>
      <c r="AD67" s="77"/>
      <c r="AE67" s="77"/>
      <c r="AF67" s="77"/>
      <c r="AG67" s="77">
        <f t="shared" si="9"/>
        <v>29221</v>
      </c>
      <c r="AH67" s="76">
        <f t="shared" si="10"/>
        <v>1646279</v>
      </c>
    </row>
    <row r="68" spans="1:34" ht="11.25">
      <c r="A68" s="93" t="s">
        <v>155</v>
      </c>
      <c r="B68" s="94" t="s">
        <v>196</v>
      </c>
      <c r="C68" s="74">
        <v>247</v>
      </c>
      <c r="D68" s="75">
        <f t="shared" si="5"/>
        <v>664.8819163292848</v>
      </c>
      <c r="E68" s="77">
        <v>4766</v>
      </c>
      <c r="F68" s="78">
        <f>1415838-80000</f>
        <v>1335838</v>
      </c>
      <c r="G68" s="77">
        <v>124865</v>
      </c>
      <c r="H68" s="77">
        <v>243872</v>
      </c>
      <c r="I68" s="77">
        <v>38798</v>
      </c>
      <c r="J68" s="77"/>
      <c r="K68" s="77"/>
      <c r="L68" s="77">
        <v>3162</v>
      </c>
      <c r="M68" s="77"/>
      <c r="N68" s="77">
        <v>2860</v>
      </c>
      <c r="O68" s="77">
        <v>113610</v>
      </c>
      <c r="P68" s="75">
        <v>3256</v>
      </c>
      <c r="Q68" s="77">
        <v>1540</v>
      </c>
      <c r="R68" s="77">
        <v>15085</v>
      </c>
      <c r="S68" s="77">
        <v>1308</v>
      </c>
      <c r="T68" s="77"/>
      <c r="U68" s="77">
        <v>2200</v>
      </c>
      <c r="V68" s="77"/>
      <c r="W68" s="77"/>
      <c r="X68" s="74"/>
      <c r="Y68" s="77">
        <v>1540</v>
      </c>
      <c r="Z68" s="77">
        <v>78010</v>
      </c>
      <c r="AA68" s="77"/>
      <c r="AB68" s="77"/>
      <c r="AC68" s="77"/>
      <c r="AD68" s="77"/>
      <c r="AE68" s="77"/>
      <c r="AF68" s="77"/>
      <c r="AG68" s="77">
        <f t="shared" si="9"/>
        <v>35717</v>
      </c>
      <c r="AH68" s="76">
        <f t="shared" si="10"/>
        <v>1970710</v>
      </c>
    </row>
    <row r="69" spans="1:34" ht="11.25">
      <c r="A69" s="93" t="s">
        <v>157</v>
      </c>
      <c r="B69" s="94" t="s">
        <v>197</v>
      </c>
      <c r="C69" s="74">
        <v>151</v>
      </c>
      <c r="D69" s="75">
        <f t="shared" si="5"/>
        <v>665.2406181015452</v>
      </c>
      <c r="E69" s="77">
        <v>3543</v>
      </c>
      <c r="F69" s="78">
        <f>883081-50000</f>
        <v>833081</v>
      </c>
      <c r="G69" s="77">
        <v>73648</v>
      </c>
      <c r="H69" s="77">
        <v>150105</v>
      </c>
      <c r="I69" s="77">
        <v>23880</v>
      </c>
      <c r="J69" s="77">
        <v>8500</v>
      </c>
      <c r="K69" s="77">
        <v>1000</v>
      </c>
      <c r="L69" s="77">
        <v>4000</v>
      </c>
      <c r="M69" s="77"/>
      <c r="N69" s="77">
        <v>2000</v>
      </c>
      <c r="O69" s="77">
        <v>40431</v>
      </c>
      <c r="P69" s="75">
        <v>4000</v>
      </c>
      <c r="Q69" s="77">
        <v>2000</v>
      </c>
      <c r="R69" s="77">
        <v>3000</v>
      </c>
      <c r="S69" s="77">
        <v>500</v>
      </c>
      <c r="T69" s="77">
        <v>700</v>
      </c>
      <c r="U69" s="77">
        <v>1000</v>
      </c>
      <c r="V69" s="77"/>
      <c r="W69" s="77"/>
      <c r="X69" s="74">
        <v>644</v>
      </c>
      <c r="Y69" s="77">
        <v>500</v>
      </c>
      <c r="Z69" s="77">
        <v>51984</v>
      </c>
      <c r="AA69" s="77"/>
      <c r="AB69" s="77"/>
      <c r="AC69" s="77"/>
      <c r="AD69" s="77">
        <v>900</v>
      </c>
      <c r="AE69" s="77"/>
      <c r="AF69" s="77"/>
      <c r="AG69" s="77">
        <f t="shared" si="9"/>
        <v>32287</v>
      </c>
      <c r="AH69" s="76">
        <f t="shared" si="10"/>
        <v>1205416</v>
      </c>
    </row>
    <row r="70" spans="1:34" ht="11.25">
      <c r="A70" s="93" t="s">
        <v>198</v>
      </c>
      <c r="B70" s="94" t="s">
        <v>199</v>
      </c>
      <c r="C70" s="74">
        <v>300</v>
      </c>
      <c r="D70" s="75">
        <f t="shared" si="5"/>
        <v>596.9183333333334</v>
      </c>
      <c r="E70" s="77">
        <v>5551</v>
      </c>
      <c r="F70" s="78">
        <f>1558723-80000</f>
        <v>1478723</v>
      </c>
      <c r="G70" s="77">
        <v>134000</v>
      </c>
      <c r="H70" s="77">
        <v>267747</v>
      </c>
      <c r="I70" s="77">
        <v>42596</v>
      </c>
      <c r="J70" s="77"/>
      <c r="K70" s="77"/>
      <c r="L70" s="77">
        <f>70000+900</f>
        <v>70900</v>
      </c>
      <c r="M70" s="77"/>
      <c r="N70" s="77">
        <v>2500</v>
      </c>
      <c r="O70" s="77">
        <v>26516</v>
      </c>
      <c r="P70" s="75">
        <v>2500</v>
      </c>
      <c r="Q70" s="77">
        <v>2500</v>
      </c>
      <c r="R70" s="77">
        <v>16830</v>
      </c>
      <c r="S70" s="77">
        <v>1305</v>
      </c>
      <c r="T70" s="77"/>
      <c r="U70" s="77">
        <v>4200</v>
      </c>
      <c r="V70" s="77"/>
      <c r="W70" s="77"/>
      <c r="X70" s="74">
        <v>600</v>
      </c>
      <c r="Y70" s="77">
        <v>2500</v>
      </c>
      <c r="Z70" s="77">
        <v>87938</v>
      </c>
      <c r="AA70" s="77"/>
      <c r="AB70" s="77"/>
      <c r="AC70" s="77"/>
      <c r="AD70" s="77">
        <v>2000</v>
      </c>
      <c r="AE70" s="77"/>
      <c r="AF70" s="77"/>
      <c r="AG70" s="77">
        <f t="shared" si="9"/>
        <v>111386</v>
      </c>
      <c r="AH70" s="76">
        <f t="shared" si="10"/>
        <v>2148906</v>
      </c>
    </row>
    <row r="71" spans="1:34" ht="11.25">
      <c r="A71" s="93" t="s">
        <v>200</v>
      </c>
      <c r="B71" s="94" t="s">
        <v>201</v>
      </c>
      <c r="C71" s="74">
        <v>383</v>
      </c>
      <c r="D71" s="75">
        <f t="shared" si="5"/>
        <v>622.4506092254134</v>
      </c>
      <c r="E71" s="77">
        <v>6500</v>
      </c>
      <c r="F71" s="78">
        <f>1965157-90000</f>
        <v>1875157</v>
      </c>
      <c r="G71" s="77">
        <v>165000</v>
      </c>
      <c r="H71" s="77">
        <v>332579</v>
      </c>
      <c r="I71" s="77">
        <v>52910</v>
      </c>
      <c r="J71" s="77">
        <v>2000</v>
      </c>
      <c r="K71" s="77"/>
      <c r="L71" s="77">
        <f>19046+1000</f>
        <v>20046</v>
      </c>
      <c r="M71" s="77"/>
      <c r="N71" s="77">
        <v>4000</v>
      </c>
      <c r="O71" s="77">
        <v>190000</v>
      </c>
      <c r="P71" s="75">
        <f>2500+50000</f>
        <v>52500</v>
      </c>
      <c r="Q71" s="77">
        <v>2800</v>
      </c>
      <c r="R71" s="77">
        <v>23000</v>
      </c>
      <c r="S71" s="77">
        <v>1303</v>
      </c>
      <c r="T71" s="77"/>
      <c r="U71" s="77">
        <v>2500</v>
      </c>
      <c r="V71" s="77"/>
      <c r="W71" s="77"/>
      <c r="X71" s="77">
        <v>1500</v>
      </c>
      <c r="Y71" s="77">
        <v>1500</v>
      </c>
      <c r="Z71" s="77">
        <v>115988</v>
      </c>
      <c r="AA71" s="77"/>
      <c r="AB71" s="77"/>
      <c r="AC71" s="77"/>
      <c r="AD71" s="77">
        <v>1500</v>
      </c>
      <c r="AE71" s="77">
        <v>10000</v>
      </c>
      <c r="AF71" s="77"/>
      <c r="AG71" s="77">
        <f t="shared" si="9"/>
        <v>119149</v>
      </c>
      <c r="AH71" s="76">
        <f t="shared" si="10"/>
        <v>2860783</v>
      </c>
    </row>
    <row r="72" spans="1:34" ht="11.25">
      <c r="A72" s="93" t="s">
        <v>167</v>
      </c>
      <c r="B72" s="94" t="s">
        <v>202</v>
      </c>
      <c r="C72" s="74">
        <v>346</v>
      </c>
      <c r="D72" s="75">
        <f t="shared" si="5"/>
        <v>628.986753371869</v>
      </c>
      <c r="E72" s="77">
        <v>7561</v>
      </c>
      <c r="F72" s="78">
        <f>1832782-80000</f>
        <v>1752782</v>
      </c>
      <c r="G72" s="77">
        <v>156301</v>
      </c>
      <c r="H72" s="77">
        <v>313704</v>
      </c>
      <c r="I72" s="77">
        <v>49908</v>
      </c>
      <c r="J72" s="77"/>
      <c r="K72" s="77"/>
      <c r="L72" s="77">
        <v>10000</v>
      </c>
      <c r="M72" s="77"/>
      <c r="N72" s="77">
        <v>2868</v>
      </c>
      <c r="O72" s="77">
        <v>176800</v>
      </c>
      <c r="P72" s="75">
        <v>3000</v>
      </c>
      <c r="Q72" s="77">
        <v>2000</v>
      </c>
      <c r="R72" s="77">
        <v>19850</v>
      </c>
      <c r="S72" s="74">
        <v>1000</v>
      </c>
      <c r="T72" s="74">
        <v>2000</v>
      </c>
      <c r="U72" s="77">
        <v>4000</v>
      </c>
      <c r="V72" s="74"/>
      <c r="W72" s="74"/>
      <c r="X72" s="74"/>
      <c r="Y72" s="77"/>
      <c r="Z72" s="77">
        <v>109779</v>
      </c>
      <c r="AA72" s="77"/>
      <c r="AB72" s="77"/>
      <c r="AC72" s="77"/>
      <c r="AD72" s="77"/>
      <c r="AE72" s="77"/>
      <c r="AF72" s="77"/>
      <c r="AG72" s="77">
        <f t="shared" si="9"/>
        <v>52279</v>
      </c>
      <c r="AH72" s="76">
        <f t="shared" si="10"/>
        <v>2611553</v>
      </c>
    </row>
    <row r="73" spans="1:34" ht="11.25">
      <c r="A73" s="93" t="s">
        <v>203</v>
      </c>
      <c r="B73" s="94" t="s">
        <v>204</v>
      </c>
      <c r="C73" s="74">
        <v>385</v>
      </c>
      <c r="D73" s="75">
        <f t="shared" si="5"/>
        <v>485.72662337662337</v>
      </c>
      <c r="E73" s="77">
        <v>5742</v>
      </c>
      <c r="F73" s="78">
        <f>1609752-70000</f>
        <v>1539752</v>
      </c>
      <c r="G73" s="77">
        <v>132210</v>
      </c>
      <c r="H73" s="77">
        <v>280826</v>
      </c>
      <c r="I73" s="77">
        <v>44677</v>
      </c>
      <c r="J73" s="77"/>
      <c r="K73" s="77"/>
      <c r="L73" s="77">
        <v>17000</v>
      </c>
      <c r="M73" s="77"/>
      <c r="N73" s="77">
        <v>3500</v>
      </c>
      <c r="O73" s="77">
        <v>103214</v>
      </c>
      <c r="P73" s="75">
        <v>3500</v>
      </c>
      <c r="Q73" s="77">
        <v>2100</v>
      </c>
      <c r="R73" s="77">
        <v>16176</v>
      </c>
      <c r="S73" s="77">
        <v>1020</v>
      </c>
      <c r="T73" s="77">
        <v>240</v>
      </c>
      <c r="U73" s="77">
        <v>3000</v>
      </c>
      <c r="V73" s="77"/>
      <c r="W73" s="77"/>
      <c r="X73" s="74">
        <v>1500</v>
      </c>
      <c r="Y73" s="77"/>
      <c r="Z73" s="77">
        <v>89600</v>
      </c>
      <c r="AA73" s="77"/>
      <c r="AB73" s="77"/>
      <c r="AC73" s="77"/>
      <c r="AD73" s="77"/>
      <c r="AE73" s="77"/>
      <c r="AF73" s="77"/>
      <c r="AG73" s="77">
        <f t="shared" si="9"/>
        <v>53778</v>
      </c>
      <c r="AH73" s="76">
        <f t="shared" si="10"/>
        <v>2244057</v>
      </c>
    </row>
    <row r="74" spans="1:34" ht="11.25">
      <c r="A74" s="93" t="s">
        <v>205</v>
      </c>
      <c r="B74" s="94" t="s">
        <v>206</v>
      </c>
      <c r="C74" s="74">
        <v>289</v>
      </c>
      <c r="D74" s="75">
        <f t="shared" si="5"/>
        <v>671.9662629757785</v>
      </c>
      <c r="E74" s="77">
        <v>7496</v>
      </c>
      <c r="F74" s="78">
        <f>1629942-70000</f>
        <v>1559942</v>
      </c>
      <c r="G74" s="77">
        <v>128153</v>
      </c>
      <c r="H74" s="77">
        <v>279757</v>
      </c>
      <c r="I74" s="77">
        <v>44507</v>
      </c>
      <c r="J74" s="77"/>
      <c r="K74" s="77"/>
      <c r="L74" s="77">
        <v>15000</v>
      </c>
      <c r="M74" s="77"/>
      <c r="N74" s="77">
        <v>3000</v>
      </c>
      <c r="O74" s="77">
        <v>171454</v>
      </c>
      <c r="P74" s="75">
        <v>1500</v>
      </c>
      <c r="Q74" s="77">
        <v>3200</v>
      </c>
      <c r="R74" s="77">
        <v>12215</v>
      </c>
      <c r="S74" s="77">
        <v>200</v>
      </c>
      <c r="T74" s="77"/>
      <c r="U74" s="77">
        <v>4000</v>
      </c>
      <c r="V74" s="77"/>
      <c r="W74" s="77"/>
      <c r="X74" s="74">
        <v>300</v>
      </c>
      <c r="Y74" s="77"/>
      <c r="Z74" s="77">
        <v>99655</v>
      </c>
      <c r="AA74" s="77"/>
      <c r="AB74" s="77"/>
      <c r="AC74" s="77"/>
      <c r="AD74" s="77"/>
      <c r="AE74" s="77"/>
      <c r="AF74" s="77"/>
      <c r="AG74" s="77">
        <f t="shared" si="9"/>
        <v>46911</v>
      </c>
      <c r="AH74" s="76">
        <f t="shared" si="10"/>
        <v>2330379</v>
      </c>
    </row>
    <row r="75" spans="1:34" ht="11.25">
      <c r="A75" s="93" t="s">
        <v>174</v>
      </c>
      <c r="B75" s="94" t="s">
        <v>207</v>
      </c>
      <c r="C75" s="74">
        <v>269</v>
      </c>
      <c r="D75" s="75">
        <f t="shared" si="5"/>
        <v>603.9299876084262</v>
      </c>
      <c r="E75" s="77">
        <v>5550</v>
      </c>
      <c r="F75" s="78">
        <f>1465158-70000</f>
        <v>1395158</v>
      </c>
      <c r="G75" s="77">
        <v>130106</v>
      </c>
      <c r="H75" s="77">
        <v>257409</v>
      </c>
      <c r="I75" s="77">
        <v>40951</v>
      </c>
      <c r="J75" s="77"/>
      <c r="K75" s="77"/>
      <c r="L75" s="77">
        <v>11340</v>
      </c>
      <c r="M75" s="77"/>
      <c r="N75" s="77">
        <v>468</v>
      </c>
      <c r="O75" s="77">
        <v>3141</v>
      </c>
      <c r="P75" s="75">
        <v>500</v>
      </c>
      <c r="Q75" s="77">
        <v>2600</v>
      </c>
      <c r="R75" s="77">
        <v>14600</v>
      </c>
      <c r="S75" s="77">
        <v>2000</v>
      </c>
      <c r="T75" s="77"/>
      <c r="U75" s="77">
        <v>2000</v>
      </c>
      <c r="V75" s="77"/>
      <c r="W75" s="77"/>
      <c r="X75" s="74"/>
      <c r="Y75" s="77"/>
      <c r="Z75" s="77">
        <v>83663</v>
      </c>
      <c r="AA75" s="77"/>
      <c r="AB75" s="77"/>
      <c r="AC75" s="77"/>
      <c r="AD75" s="77"/>
      <c r="AE75" s="77"/>
      <c r="AF75" s="77"/>
      <c r="AG75" s="77">
        <f t="shared" si="9"/>
        <v>39058</v>
      </c>
      <c r="AH75" s="76">
        <f t="shared" si="10"/>
        <v>1949486</v>
      </c>
    </row>
    <row r="76" spans="1:34" ht="11.25">
      <c r="A76" s="93" t="s">
        <v>175</v>
      </c>
      <c r="B76" s="94" t="s">
        <v>208</v>
      </c>
      <c r="C76" s="74">
        <v>234</v>
      </c>
      <c r="D76" s="75">
        <f t="shared" si="5"/>
        <v>849.8839031339031</v>
      </c>
      <c r="E76" s="77">
        <v>6734</v>
      </c>
      <c r="F76" s="78">
        <f>1677425-80000</f>
        <v>1597425</v>
      </c>
      <c r="G76" s="77">
        <v>135403</v>
      </c>
      <c r="H76" s="77">
        <v>289257</v>
      </c>
      <c r="I76" s="77">
        <v>46018</v>
      </c>
      <c r="J76" s="77"/>
      <c r="K76" s="77"/>
      <c r="L76" s="77">
        <v>7000</v>
      </c>
      <c r="M76" s="77"/>
      <c r="N76" s="77">
        <v>2112</v>
      </c>
      <c r="O76" s="77">
        <v>190152</v>
      </c>
      <c r="P76" s="75">
        <v>3276</v>
      </c>
      <c r="Q76" s="77">
        <v>3500</v>
      </c>
      <c r="R76" s="77">
        <v>7000</v>
      </c>
      <c r="S76" s="77"/>
      <c r="T76" s="77"/>
      <c r="U76" s="77">
        <v>5000</v>
      </c>
      <c r="V76" s="77"/>
      <c r="W76" s="77"/>
      <c r="X76" s="74"/>
      <c r="Y76" s="77"/>
      <c r="Z76" s="77">
        <v>93597</v>
      </c>
      <c r="AA76" s="77"/>
      <c r="AB76" s="77"/>
      <c r="AC76" s="77"/>
      <c r="AD76" s="77"/>
      <c r="AE76" s="77"/>
      <c r="AF76" s="77"/>
      <c r="AG76" s="77">
        <f t="shared" si="9"/>
        <v>34622</v>
      </c>
      <c r="AH76" s="76">
        <f t="shared" si="10"/>
        <v>2386474</v>
      </c>
    </row>
    <row r="77" spans="1:34" ht="11.25">
      <c r="A77" s="93" t="s">
        <v>176</v>
      </c>
      <c r="B77" s="94" t="s">
        <v>209</v>
      </c>
      <c r="C77" s="74">
        <v>507</v>
      </c>
      <c r="D77" s="75">
        <f t="shared" si="5"/>
        <v>454.1032215647601</v>
      </c>
      <c r="E77" s="77">
        <v>9029</v>
      </c>
      <c r="F77" s="78">
        <f>1931000-90000</f>
        <v>1841000</v>
      </c>
      <c r="G77" s="77">
        <v>160669</v>
      </c>
      <c r="H77" s="77">
        <v>338209</v>
      </c>
      <c r="I77" s="77">
        <v>53806</v>
      </c>
      <c r="J77" s="77">
        <v>6552</v>
      </c>
      <c r="K77" s="77"/>
      <c r="L77" s="77">
        <v>31289</v>
      </c>
      <c r="M77" s="77"/>
      <c r="N77" s="77">
        <v>2050</v>
      </c>
      <c r="O77" s="77">
        <v>167475</v>
      </c>
      <c r="P77" s="75">
        <v>3000</v>
      </c>
      <c r="Q77" s="77">
        <v>4950</v>
      </c>
      <c r="R77" s="77">
        <v>18153</v>
      </c>
      <c r="S77" s="77">
        <v>861</v>
      </c>
      <c r="T77" s="77"/>
      <c r="U77" s="77">
        <v>4300</v>
      </c>
      <c r="V77" s="77"/>
      <c r="W77" s="77"/>
      <c r="X77" s="74">
        <v>900</v>
      </c>
      <c r="Y77" s="77"/>
      <c r="Z77" s="77">
        <v>118721</v>
      </c>
      <c r="AA77" s="77"/>
      <c r="AB77" s="77"/>
      <c r="AC77" s="77"/>
      <c r="AD77" s="77">
        <v>1800</v>
      </c>
      <c r="AE77" s="77"/>
      <c r="AF77" s="77"/>
      <c r="AG77" s="77">
        <f t="shared" si="9"/>
        <v>82884</v>
      </c>
      <c r="AH77" s="76">
        <f t="shared" si="10"/>
        <v>2762764</v>
      </c>
    </row>
    <row r="78" spans="1:34" ht="11.25">
      <c r="A78" s="93" t="s">
        <v>178</v>
      </c>
      <c r="B78" s="94" t="s">
        <v>210</v>
      </c>
      <c r="C78" s="74">
        <v>316</v>
      </c>
      <c r="D78" s="75">
        <f t="shared" si="5"/>
        <v>493.7927215189873</v>
      </c>
      <c r="E78" s="77">
        <v>3400</v>
      </c>
      <c r="F78" s="78">
        <f>1346943-80000</f>
        <v>1266943</v>
      </c>
      <c r="G78" s="77">
        <v>104160</v>
      </c>
      <c r="H78" s="77">
        <v>229954</v>
      </c>
      <c r="I78" s="77">
        <v>36584</v>
      </c>
      <c r="J78" s="77"/>
      <c r="K78" s="77"/>
      <c r="L78" s="77">
        <v>15076</v>
      </c>
      <c r="M78" s="77"/>
      <c r="N78" s="77">
        <v>2000</v>
      </c>
      <c r="O78" s="77">
        <v>114390</v>
      </c>
      <c r="P78" s="75">
        <v>3000</v>
      </c>
      <c r="Q78" s="77">
        <v>2200</v>
      </c>
      <c r="R78" s="77">
        <f>10155</f>
        <v>10155</v>
      </c>
      <c r="S78" s="77">
        <v>900</v>
      </c>
      <c r="T78" s="77"/>
      <c r="U78" s="77">
        <v>3052</v>
      </c>
      <c r="V78" s="77"/>
      <c r="W78" s="77"/>
      <c r="X78" s="74"/>
      <c r="Y78" s="77"/>
      <c r="Z78" s="77">
        <v>80648</v>
      </c>
      <c r="AA78" s="77"/>
      <c r="AB78" s="77"/>
      <c r="AC78" s="77"/>
      <c r="AD78" s="77"/>
      <c r="AE78" s="77"/>
      <c r="AF78" s="77"/>
      <c r="AG78" s="77">
        <f t="shared" si="9"/>
        <v>39783</v>
      </c>
      <c r="AH78" s="76">
        <f t="shared" si="10"/>
        <v>1872462</v>
      </c>
    </row>
    <row r="79" spans="1:34" ht="11.25">
      <c r="A79" s="93" t="s">
        <v>179</v>
      </c>
      <c r="B79" s="94" t="s">
        <v>211</v>
      </c>
      <c r="C79" s="74">
        <v>323</v>
      </c>
      <c r="D79" s="75">
        <f t="shared" si="5"/>
        <v>773.5043859649122</v>
      </c>
      <c r="E79" s="77">
        <v>12394</v>
      </c>
      <c r="F79" s="78">
        <f>2122716-100000</f>
        <v>2022716</v>
      </c>
      <c r="G79" s="77">
        <v>175300</v>
      </c>
      <c r="H79" s="77">
        <v>374604</v>
      </c>
      <c r="I79" s="77">
        <v>59596</v>
      </c>
      <c r="J79" s="77"/>
      <c r="K79" s="77"/>
      <c r="L79" s="77">
        <v>6000</v>
      </c>
      <c r="M79" s="77"/>
      <c r="N79" s="77">
        <v>3500</v>
      </c>
      <c r="O79" s="77">
        <v>187268</v>
      </c>
      <c r="P79" s="75">
        <v>6000</v>
      </c>
      <c r="Q79" s="77">
        <v>4100</v>
      </c>
      <c r="R79" s="77">
        <v>15850</v>
      </c>
      <c r="S79" s="77"/>
      <c r="T79" s="77">
        <v>1800</v>
      </c>
      <c r="U79" s="77">
        <v>3984</v>
      </c>
      <c r="V79" s="77"/>
      <c r="W79" s="77"/>
      <c r="X79" s="74">
        <v>500</v>
      </c>
      <c r="Y79" s="77"/>
      <c r="Z79" s="77">
        <v>123991</v>
      </c>
      <c r="AA79" s="77"/>
      <c r="AB79" s="77"/>
      <c r="AC79" s="77"/>
      <c r="AD79" s="77">
        <v>500</v>
      </c>
      <c r="AE79" s="77"/>
      <c r="AF79" s="77"/>
      <c r="AG79" s="77">
        <f t="shared" si="9"/>
        <v>54628</v>
      </c>
      <c r="AH79" s="76">
        <f t="shared" si="10"/>
        <v>2998103</v>
      </c>
    </row>
    <row r="80" spans="1:34" ht="11.25">
      <c r="A80" s="93" t="s">
        <v>180</v>
      </c>
      <c r="B80" s="94" t="s">
        <v>212</v>
      </c>
      <c r="C80" s="74">
        <v>163</v>
      </c>
      <c r="D80" s="75">
        <f t="shared" si="5"/>
        <v>684.8696319018404</v>
      </c>
      <c r="E80" s="77">
        <v>2242</v>
      </c>
      <c r="F80" s="78">
        <f>998789-50000</f>
        <v>948789</v>
      </c>
      <c r="G80" s="77">
        <v>87116</v>
      </c>
      <c r="H80" s="77">
        <v>172250</v>
      </c>
      <c r="I80" s="77">
        <v>27403</v>
      </c>
      <c r="J80" s="77"/>
      <c r="K80" s="77"/>
      <c r="L80" s="77">
        <v>8132</v>
      </c>
      <c r="M80" s="77"/>
      <c r="N80" s="77">
        <v>2000</v>
      </c>
      <c r="O80" s="77">
        <v>26198</v>
      </c>
      <c r="P80" s="75">
        <v>1500</v>
      </c>
      <c r="Q80" s="77"/>
      <c r="R80" s="77">
        <v>6884</v>
      </c>
      <c r="S80" s="77"/>
      <c r="T80" s="77">
        <v>1500</v>
      </c>
      <c r="U80" s="77">
        <v>1500</v>
      </c>
      <c r="V80" s="77"/>
      <c r="W80" s="77"/>
      <c r="X80" s="74"/>
      <c r="Y80" s="77"/>
      <c r="Z80" s="77">
        <v>54091</v>
      </c>
      <c r="AA80" s="77"/>
      <c r="AB80" s="77"/>
      <c r="AC80" s="77"/>
      <c r="AD80" s="77"/>
      <c r="AE80" s="77"/>
      <c r="AF80" s="77"/>
      <c r="AG80" s="77">
        <f t="shared" si="9"/>
        <v>23758</v>
      </c>
      <c r="AH80" s="76">
        <f t="shared" si="10"/>
        <v>1339605</v>
      </c>
    </row>
    <row r="81" spans="1:34" ht="11.25">
      <c r="A81" s="93" t="s">
        <v>213</v>
      </c>
      <c r="B81" s="94" t="s">
        <v>214</v>
      </c>
      <c r="C81" s="74">
        <v>189</v>
      </c>
      <c r="D81" s="75">
        <f t="shared" si="5"/>
        <v>180.16005291005288</v>
      </c>
      <c r="E81" s="77">
        <v>940</v>
      </c>
      <c r="F81" s="78">
        <v>280788</v>
      </c>
      <c r="G81" s="77">
        <v>23572</v>
      </c>
      <c r="H81" s="77">
        <v>47450</v>
      </c>
      <c r="I81" s="77">
        <v>7549</v>
      </c>
      <c r="J81" s="77"/>
      <c r="K81" s="77"/>
      <c r="L81" s="77">
        <v>10966</v>
      </c>
      <c r="M81" s="77"/>
      <c r="N81" s="77">
        <v>3500</v>
      </c>
      <c r="O81" s="77">
        <v>1382</v>
      </c>
      <c r="P81" s="75">
        <v>6000</v>
      </c>
      <c r="Q81" s="77">
        <v>600</v>
      </c>
      <c r="R81" s="77">
        <v>3400</v>
      </c>
      <c r="S81" s="77"/>
      <c r="T81" s="77"/>
      <c r="U81" s="77">
        <v>2000</v>
      </c>
      <c r="V81" s="77"/>
      <c r="W81" s="77"/>
      <c r="X81" s="77"/>
      <c r="Y81" s="77"/>
      <c r="Z81" s="77">
        <v>19956</v>
      </c>
      <c r="AA81" s="77"/>
      <c r="AB81" s="77"/>
      <c r="AC81" s="77"/>
      <c r="AD81" s="77">
        <v>500</v>
      </c>
      <c r="AE81" s="77"/>
      <c r="AF81" s="77"/>
      <c r="AG81" s="77">
        <f t="shared" si="9"/>
        <v>27906</v>
      </c>
      <c r="AH81" s="76">
        <f t="shared" si="10"/>
        <v>408603</v>
      </c>
    </row>
    <row r="82" spans="1:34" ht="11.25">
      <c r="A82" s="93" t="s">
        <v>215</v>
      </c>
      <c r="B82" s="94" t="s">
        <v>216</v>
      </c>
      <c r="C82" s="74">
        <v>153</v>
      </c>
      <c r="D82" s="75">
        <f t="shared" si="5"/>
        <v>523.4057734204792</v>
      </c>
      <c r="E82" s="77">
        <v>1826</v>
      </c>
      <c r="F82" s="78">
        <f>730519-50000</f>
        <v>680519</v>
      </c>
      <c r="G82" s="77">
        <v>58537</v>
      </c>
      <c r="H82" s="77">
        <v>123008</v>
      </c>
      <c r="I82" s="77">
        <v>19570</v>
      </c>
      <c r="J82" s="77"/>
      <c r="K82" s="77"/>
      <c r="L82" s="77">
        <v>12524</v>
      </c>
      <c r="M82" s="77"/>
      <c r="N82" s="77"/>
      <c r="O82" s="77">
        <v>16150</v>
      </c>
      <c r="P82" s="75"/>
      <c r="Q82" s="77"/>
      <c r="R82" s="74">
        <v>8000</v>
      </c>
      <c r="S82" s="74"/>
      <c r="T82" s="74"/>
      <c r="U82" s="74"/>
      <c r="V82" s="74"/>
      <c r="W82" s="74"/>
      <c r="X82" s="74"/>
      <c r="Y82" s="77"/>
      <c r="Z82" s="77">
        <v>40839</v>
      </c>
      <c r="AA82" s="77"/>
      <c r="AB82" s="77"/>
      <c r="AC82" s="77"/>
      <c r="AD82" s="77"/>
      <c r="AE82" s="77"/>
      <c r="AF82" s="77"/>
      <c r="AG82" s="77">
        <f t="shared" si="9"/>
        <v>22350</v>
      </c>
      <c r="AH82" s="76">
        <f t="shared" si="10"/>
        <v>960973</v>
      </c>
    </row>
    <row r="83" spans="1:34" ht="11.25">
      <c r="A83" s="93" t="s">
        <v>217</v>
      </c>
      <c r="B83" s="94" t="s">
        <v>218</v>
      </c>
      <c r="C83" s="74">
        <v>232</v>
      </c>
      <c r="D83" s="75">
        <f t="shared" si="5"/>
        <v>558.4008620689655</v>
      </c>
      <c r="E83" s="77">
        <v>6055</v>
      </c>
      <c r="F83" s="78">
        <f>1190054-80000</f>
        <v>1110054</v>
      </c>
      <c r="G83" s="77">
        <v>91550</v>
      </c>
      <c r="H83" s="77">
        <v>198287</v>
      </c>
      <c r="I83" s="77">
        <v>31546</v>
      </c>
      <c r="J83" s="77"/>
      <c r="K83" s="77"/>
      <c r="L83" s="77">
        <v>9056</v>
      </c>
      <c r="M83" s="77"/>
      <c r="N83" s="77"/>
      <c r="O83" s="77"/>
      <c r="P83" s="75"/>
      <c r="Q83" s="77"/>
      <c r="R83" s="77">
        <v>10000</v>
      </c>
      <c r="S83" s="77"/>
      <c r="T83" s="77"/>
      <c r="U83" s="77"/>
      <c r="V83" s="77"/>
      <c r="W83" s="77"/>
      <c r="X83" s="74"/>
      <c r="Y83" s="77">
        <v>30000</v>
      </c>
      <c r="Z83" s="77">
        <v>68040</v>
      </c>
      <c r="AA83" s="77"/>
      <c r="AB83" s="77"/>
      <c r="AC83" s="77"/>
      <c r="AD83" s="77"/>
      <c r="AE83" s="77"/>
      <c r="AF83" s="77"/>
      <c r="AG83" s="77">
        <f t="shared" si="9"/>
        <v>55111</v>
      </c>
      <c r="AH83" s="76">
        <f t="shared" si="10"/>
        <v>1554588</v>
      </c>
    </row>
    <row r="84" spans="1:34" ht="11.25">
      <c r="A84" s="80" t="s">
        <v>219</v>
      </c>
      <c r="B84" s="80"/>
      <c r="C84" s="76">
        <f>SUM(C62:C83)</f>
        <v>6289</v>
      </c>
      <c r="D84" s="81">
        <f t="shared" si="5"/>
        <v>616.44428101977</v>
      </c>
      <c r="E84" s="76">
        <f aca="true" t="shared" si="11" ref="E84:AG84">SUM(E62:E83)</f>
        <v>123129</v>
      </c>
      <c r="F84" s="82">
        <f t="shared" si="11"/>
        <v>31369413</v>
      </c>
      <c r="G84" s="76">
        <f t="shared" si="11"/>
        <v>2731547</v>
      </c>
      <c r="H84" s="76">
        <f t="shared" si="11"/>
        <v>5681422</v>
      </c>
      <c r="I84" s="76">
        <f t="shared" si="11"/>
        <v>903864</v>
      </c>
      <c r="J84" s="76">
        <f t="shared" si="11"/>
        <v>30052</v>
      </c>
      <c r="K84" s="76">
        <f t="shared" si="11"/>
        <v>8400</v>
      </c>
      <c r="L84" s="76">
        <f t="shared" si="11"/>
        <v>534223</v>
      </c>
      <c r="M84" s="76">
        <f t="shared" si="11"/>
        <v>0</v>
      </c>
      <c r="N84" s="76">
        <f t="shared" si="11"/>
        <v>50458</v>
      </c>
      <c r="O84" s="76">
        <f t="shared" si="11"/>
        <v>2282161</v>
      </c>
      <c r="P84" s="76">
        <f t="shared" si="11"/>
        <v>351032</v>
      </c>
      <c r="Q84" s="76">
        <f t="shared" si="11"/>
        <v>48855</v>
      </c>
      <c r="R84" s="76">
        <f t="shared" si="11"/>
        <v>326850</v>
      </c>
      <c r="S84" s="76">
        <f t="shared" si="11"/>
        <v>23497</v>
      </c>
      <c r="T84" s="76">
        <f t="shared" si="11"/>
        <v>11540</v>
      </c>
      <c r="U84" s="76">
        <f t="shared" si="11"/>
        <v>60236</v>
      </c>
      <c r="V84" s="76">
        <f t="shared" si="11"/>
        <v>0</v>
      </c>
      <c r="W84" s="76">
        <f t="shared" si="11"/>
        <v>0</v>
      </c>
      <c r="X84" s="76">
        <f t="shared" si="11"/>
        <v>6644</v>
      </c>
      <c r="Y84" s="76">
        <f t="shared" si="11"/>
        <v>37640</v>
      </c>
      <c r="Z84" s="76">
        <f t="shared" si="11"/>
        <v>1921654</v>
      </c>
      <c r="AA84" s="76">
        <f t="shared" si="11"/>
        <v>0</v>
      </c>
      <c r="AB84" s="76">
        <f t="shared" si="11"/>
        <v>0</v>
      </c>
      <c r="AC84" s="76">
        <f t="shared" si="11"/>
        <v>0</v>
      </c>
      <c r="AD84" s="76">
        <f t="shared" si="11"/>
        <v>9200</v>
      </c>
      <c r="AE84" s="76">
        <f t="shared" si="11"/>
        <v>10000</v>
      </c>
      <c r="AF84" s="76">
        <f t="shared" si="11"/>
        <v>0</v>
      </c>
      <c r="AG84" s="76">
        <f t="shared" si="11"/>
        <v>1621756</v>
      </c>
      <c r="AH84" s="81">
        <f>SUM(AH62:AH83)</f>
        <v>46521817</v>
      </c>
    </row>
    <row r="85" spans="1:34" ht="11.25">
      <c r="A85" s="91" t="s">
        <v>190</v>
      </c>
      <c r="B85" s="65" t="s">
        <v>191</v>
      </c>
      <c r="C85" s="74"/>
      <c r="D85" s="75"/>
      <c r="E85" s="77"/>
      <c r="F85" s="78"/>
      <c r="G85" s="77"/>
      <c r="H85" s="77"/>
      <c r="I85" s="77"/>
      <c r="J85" s="77"/>
      <c r="K85" s="77"/>
      <c r="L85" s="77"/>
      <c r="M85" s="77"/>
      <c r="N85" s="77"/>
      <c r="O85" s="77"/>
      <c r="P85" s="75"/>
      <c r="Q85" s="77"/>
      <c r="R85" s="77">
        <v>3576</v>
      </c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>
        <f aca="true" t="shared" si="12" ref="AG85:AG93">E85+J85+K85+L85+N85+P85+Q85+R85+S85+X85+Y85+T85+U85+V85+AD85+AA85+W85</f>
        <v>3576</v>
      </c>
      <c r="AH85" s="76">
        <f aca="true" t="shared" si="13" ref="AH85:AH93">SUM(E85:AF85)</f>
        <v>3576</v>
      </c>
    </row>
    <row r="86" spans="1:34" ht="11.25">
      <c r="A86" s="72" t="s">
        <v>152</v>
      </c>
      <c r="B86" s="73">
        <v>8</v>
      </c>
      <c r="C86" s="74"/>
      <c r="D86" s="75"/>
      <c r="E86" s="77"/>
      <c r="F86" s="78"/>
      <c r="G86" s="77"/>
      <c r="H86" s="77"/>
      <c r="I86" s="77"/>
      <c r="J86" s="77"/>
      <c r="K86" s="77"/>
      <c r="L86" s="77"/>
      <c r="M86" s="77"/>
      <c r="N86" s="77"/>
      <c r="O86" s="77"/>
      <c r="P86" s="75"/>
      <c r="Q86" s="77"/>
      <c r="R86" s="77">
        <v>15482</v>
      </c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>
        <f t="shared" si="12"/>
        <v>15482</v>
      </c>
      <c r="AH86" s="76">
        <f t="shared" si="13"/>
        <v>15482</v>
      </c>
    </row>
    <row r="87" spans="1:34" ht="11.25">
      <c r="A87" s="72" t="s">
        <v>153</v>
      </c>
      <c r="B87" s="73">
        <v>10</v>
      </c>
      <c r="C87" s="74"/>
      <c r="D87" s="75"/>
      <c r="E87" s="77"/>
      <c r="F87" s="78"/>
      <c r="G87" s="77"/>
      <c r="H87" s="77"/>
      <c r="I87" s="77"/>
      <c r="J87" s="77"/>
      <c r="K87" s="77"/>
      <c r="L87" s="77"/>
      <c r="M87" s="77"/>
      <c r="N87" s="77"/>
      <c r="O87" s="77"/>
      <c r="P87" s="75"/>
      <c r="Q87" s="77"/>
      <c r="R87" s="77">
        <v>14000</v>
      </c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>
        <f t="shared" si="12"/>
        <v>14000</v>
      </c>
      <c r="AH87" s="76">
        <f t="shared" si="13"/>
        <v>14000</v>
      </c>
    </row>
    <row r="88" spans="1:34" ht="11.25">
      <c r="A88" s="72" t="s">
        <v>154</v>
      </c>
      <c r="B88" s="73">
        <v>11</v>
      </c>
      <c r="C88" s="74"/>
      <c r="D88" s="75"/>
      <c r="E88" s="77"/>
      <c r="F88" s="78"/>
      <c r="G88" s="77"/>
      <c r="H88" s="77"/>
      <c r="I88" s="77"/>
      <c r="J88" s="77"/>
      <c r="K88" s="77"/>
      <c r="L88" s="77"/>
      <c r="M88" s="77"/>
      <c r="N88" s="77"/>
      <c r="O88" s="77"/>
      <c r="P88" s="75"/>
      <c r="Q88" s="77"/>
      <c r="R88" s="77">
        <v>7616</v>
      </c>
      <c r="S88" s="77"/>
      <c r="T88" s="77"/>
      <c r="U88" s="77"/>
      <c r="V88" s="77"/>
      <c r="W88" s="77"/>
      <c r="X88" s="74"/>
      <c r="Y88" s="77"/>
      <c r="Z88" s="77"/>
      <c r="AA88" s="77"/>
      <c r="AB88" s="77"/>
      <c r="AC88" s="77"/>
      <c r="AD88" s="77"/>
      <c r="AE88" s="77"/>
      <c r="AF88" s="77"/>
      <c r="AG88" s="77">
        <f t="shared" si="12"/>
        <v>7616</v>
      </c>
      <c r="AH88" s="76">
        <f t="shared" si="13"/>
        <v>7616</v>
      </c>
    </row>
    <row r="89" spans="1:34" ht="11.25">
      <c r="A89" s="72" t="s">
        <v>165</v>
      </c>
      <c r="B89" s="73">
        <v>28</v>
      </c>
      <c r="C89" s="74"/>
      <c r="D89" s="75"/>
      <c r="E89" s="77"/>
      <c r="F89" s="78"/>
      <c r="G89" s="77"/>
      <c r="H89" s="77"/>
      <c r="I89" s="77"/>
      <c r="J89" s="77"/>
      <c r="K89" s="77"/>
      <c r="L89" s="77"/>
      <c r="M89" s="77"/>
      <c r="N89" s="77"/>
      <c r="O89" s="77"/>
      <c r="P89" s="75"/>
      <c r="Q89" s="77"/>
      <c r="R89" s="77">
        <v>13000</v>
      </c>
      <c r="S89" s="77"/>
      <c r="T89" s="77"/>
      <c r="U89" s="77"/>
      <c r="V89" s="77"/>
      <c r="W89" s="77"/>
      <c r="X89" s="74"/>
      <c r="Y89" s="77"/>
      <c r="Z89" s="77"/>
      <c r="AA89" s="77"/>
      <c r="AB89" s="77"/>
      <c r="AC89" s="77"/>
      <c r="AD89" s="77"/>
      <c r="AE89" s="77"/>
      <c r="AF89" s="77"/>
      <c r="AG89" s="77">
        <f t="shared" si="12"/>
        <v>13000</v>
      </c>
      <c r="AH89" s="76">
        <f t="shared" si="13"/>
        <v>13000</v>
      </c>
    </row>
    <row r="90" spans="1:34" ht="11.25">
      <c r="A90" s="72" t="s">
        <v>169</v>
      </c>
      <c r="B90" s="73">
        <v>34</v>
      </c>
      <c r="C90" s="74"/>
      <c r="D90" s="75"/>
      <c r="E90" s="77"/>
      <c r="F90" s="78"/>
      <c r="G90" s="77"/>
      <c r="H90" s="77"/>
      <c r="I90" s="77"/>
      <c r="J90" s="77"/>
      <c r="K90" s="77"/>
      <c r="L90" s="77"/>
      <c r="M90" s="77"/>
      <c r="N90" s="77"/>
      <c r="O90" s="77"/>
      <c r="P90" s="75"/>
      <c r="Q90" s="77"/>
      <c r="R90" s="77">
        <v>13230</v>
      </c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>
        <f t="shared" si="12"/>
        <v>13230</v>
      </c>
      <c r="AH90" s="76">
        <f t="shared" si="13"/>
        <v>13230</v>
      </c>
    </row>
    <row r="91" spans="1:34" ht="11.25">
      <c r="A91" s="72" t="s">
        <v>175</v>
      </c>
      <c r="B91" s="73">
        <v>43</v>
      </c>
      <c r="C91" s="74"/>
      <c r="D91" s="75"/>
      <c r="E91" s="77"/>
      <c r="F91" s="78"/>
      <c r="G91" s="77"/>
      <c r="H91" s="77"/>
      <c r="I91" s="77"/>
      <c r="J91" s="77"/>
      <c r="K91" s="77"/>
      <c r="L91" s="77"/>
      <c r="M91" s="77"/>
      <c r="N91" s="77"/>
      <c r="O91" s="77"/>
      <c r="P91" s="75"/>
      <c r="Q91" s="77"/>
      <c r="R91" s="77">
        <v>11765</v>
      </c>
      <c r="S91" s="77"/>
      <c r="T91" s="77"/>
      <c r="U91" s="77"/>
      <c r="V91" s="77"/>
      <c r="W91" s="77"/>
      <c r="X91" s="74"/>
      <c r="Y91" s="77"/>
      <c r="Z91" s="77"/>
      <c r="AA91" s="77"/>
      <c r="AB91" s="77"/>
      <c r="AC91" s="77"/>
      <c r="AD91" s="77"/>
      <c r="AE91" s="77"/>
      <c r="AF91" s="77"/>
      <c r="AG91" s="77">
        <f t="shared" si="12"/>
        <v>11765</v>
      </c>
      <c r="AH91" s="76">
        <f t="shared" si="13"/>
        <v>11765</v>
      </c>
    </row>
    <row r="92" spans="1:34" ht="11.25">
      <c r="A92" s="72" t="s">
        <v>179</v>
      </c>
      <c r="B92" s="73">
        <v>47</v>
      </c>
      <c r="C92" s="74"/>
      <c r="D92" s="75"/>
      <c r="E92" s="77"/>
      <c r="F92" s="78"/>
      <c r="G92" s="77"/>
      <c r="H92" s="77"/>
      <c r="I92" s="77"/>
      <c r="J92" s="77"/>
      <c r="K92" s="77"/>
      <c r="L92" s="77"/>
      <c r="M92" s="77"/>
      <c r="N92" s="77"/>
      <c r="O92" s="77"/>
      <c r="P92" s="75"/>
      <c r="Q92" s="77"/>
      <c r="R92" s="77">
        <v>13000</v>
      </c>
      <c r="S92" s="77"/>
      <c r="T92" s="77"/>
      <c r="U92" s="77"/>
      <c r="V92" s="77"/>
      <c r="W92" s="77"/>
      <c r="X92" s="74"/>
      <c r="Y92" s="77"/>
      <c r="Z92" s="77"/>
      <c r="AA92" s="77"/>
      <c r="AB92" s="77"/>
      <c r="AC92" s="77"/>
      <c r="AD92" s="77"/>
      <c r="AE92" s="77"/>
      <c r="AF92" s="77"/>
      <c r="AG92" s="77">
        <f t="shared" si="12"/>
        <v>13000</v>
      </c>
      <c r="AH92" s="76">
        <f t="shared" si="13"/>
        <v>13000</v>
      </c>
    </row>
    <row r="93" spans="1:34" ht="11.25">
      <c r="A93" s="72" t="s">
        <v>180</v>
      </c>
      <c r="B93" s="73">
        <v>48</v>
      </c>
      <c r="C93" s="74"/>
      <c r="D93" s="75"/>
      <c r="E93" s="77"/>
      <c r="F93" s="78"/>
      <c r="G93" s="77"/>
      <c r="H93" s="77"/>
      <c r="I93" s="77"/>
      <c r="J93" s="77"/>
      <c r="K93" s="77"/>
      <c r="L93" s="77"/>
      <c r="M93" s="77"/>
      <c r="N93" s="77"/>
      <c r="O93" s="77"/>
      <c r="P93" s="75"/>
      <c r="Q93" s="77"/>
      <c r="R93" s="77">
        <v>10560</v>
      </c>
      <c r="S93" s="77"/>
      <c r="T93" s="77"/>
      <c r="U93" s="77"/>
      <c r="V93" s="77"/>
      <c r="W93" s="77"/>
      <c r="X93" s="74"/>
      <c r="Y93" s="77"/>
      <c r="Z93" s="77"/>
      <c r="AA93" s="77"/>
      <c r="AB93" s="77"/>
      <c r="AC93" s="77"/>
      <c r="AD93" s="77"/>
      <c r="AE93" s="77"/>
      <c r="AF93" s="77"/>
      <c r="AG93" s="77">
        <f t="shared" si="12"/>
        <v>10560</v>
      </c>
      <c r="AH93" s="76">
        <f t="shared" si="13"/>
        <v>10560</v>
      </c>
    </row>
    <row r="94" spans="1:34" ht="11.25">
      <c r="A94" s="80" t="s">
        <v>220</v>
      </c>
      <c r="B94" s="80"/>
      <c r="C94" s="76">
        <f>SUM(C85:C93)</f>
        <v>0</v>
      </c>
      <c r="D94" s="81"/>
      <c r="E94" s="76">
        <f aca="true" t="shared" si="14" ref="E94:AG94">SUM(E85:E93)</f>
        <v>0</v>
      </c>
      <c r="F94" s="82">
        <f t="shared" si="14"/>
        <v>0</v>
      </c>
      <c r="G94" s="76">
        <f t="shared" si="14"/>
        <v>0</v>
      </c>
      <c r="H94" s="76">
        <f t="shared" si="14"/>
        <v>0</v>
      </c>
      <c r="I94" s="76">
        <f t="shared" si="14"/>
        <v>0</v>
      </c>
      <c r="J94" s="76">
        <f t="shared" si="14"/>
        <v>0</v>
      </c>
      <c r="K94" s="76">
        <f t="shared" si="14"/>
        <v>0</v>
      </c>
      <c r="L94" s="76">
        <f t="shared" si="14"/>
        <v>0</v>
      </c>
      <c r="M94" s="76">
        <f t="shared" si="14"/>
        <v>0</v>
      </c>
      <c r="N94" s="76">
        <f t="shared" si="14"/>
        <v>0</v>
      </c>
      <c r="O94" s="76">
        <f t="shared" si="14"/>
        <v>0</v>
      </c>
      <c r="P94" s="76">
        <f t="shared" si="14"/>
        <v>0</v>
      </c>
      <c r="Q94" s="76">
        <f t="shared" si="14"/>
        <v>0</v>
      </c>
      <c r="R94" s="76">
        <f t="shared" si="14"/>
        <v>102229</v>
      </c>
      <c r="S94" s="76">
        <f t="shared" si="14"/>
        <v>0</v>
      </c>
      <c r="T94" s="76">
        <f t="shared" si="14"/>
        <v>0</v>
      </c>
      <c r="U94" s="76">
        <f t="shared" si="14"/>
        <v>0</v>
      </c>
      <c r="V94" s="76">
        <f t="shared" si="14"/>
        <v>0</v>
      </c>
      <c r="W94" s="76">
        <f t="shared" si="14"/>
        <v>0</v>
      </c>
      <c r="X94" s="76">
        <f t="shared" si="14"/>
        <v>0</v>
      </c>
      <c r="Y94" s="76">
        <f t="shared" si="14"/>
        <v>0</v>
      </c>
      <c r="Z94" s="76">
        <f t="shared" si="14"/>
        <v>0</v>
      </c>
      <c r="AA94" s="76">
        <f t="shared" si="14"/>
        <v>0</v>
      </c>
      <c r="AB94" s="76">
        <f t="shared" si="14"/>
        <v>0</v>
      </c>
      <c r="AC94" s="76">
        <f t="shared" si="14"/>
        <v>0</v>
      </c>
      <c r="AD94" s="76">
        <f t="shared" si="14"/>
        <v>0</v>
      </c>
      <c r="AE94" s="76">
        <f t="shared" si="14"/>
        <v>0</v>
      </c>
      <c r="AF94" s="76">
        <f t="shared" si="14"/>
        <v>0</v>
      </c>
      <c r="AG94" s="76">
        <f t="shared" si="14"/>
        <v>102229</v>
      </c>
      <c r="AH94" s="76">
        <f>SUM(AH85:AH93)</f>
        <v>102229</v>
      </c>
    </row>
    <row r="95" spans="1:34" ht="11.25">
      <c r="A95" s="74" t="s">
        <v>188</v>
      </c>
      <c r="B95" s="73" t="s">
        <v>189</v>
      </c>
      <c r="C95" s="74"/>
      <c r="D95" s="75"/>
      <c r="E95" s="77"/>
      <c r="F95" s="78">
        <v>96702</v>
      </c>
      <c r="G95" s="77">
        <v>7400</v>
      </c>
      <c r="H95" s="77">
        <v>16032</v>
      </c>
      <c r="I95" s="77">
        <v>2550</v>
      </c>
      <c r="J95" s="77"/>
      <c r="K95" s="77"/>
      <c r="L95" s="77"/>
      <c r="M95" s="77">
        <v>2000</v>
      </c>
      <c r="N95" s="77"/>
      <c r="O95" s="77"/>
      <c r="P95" s="75"/>
      <c r="Q95" s="77"/>
      <c r="R95" s="77"/>
      <c r="S95" s="77"/>
      <c r="T95" s="77"/>
      <c r="U95" s="77"/>
      <c r="V95" s="77"/>
      <c r="W95" s="77"/>
      <c r="X95" s="77"/>
      <c r="Y95" s="77"/>
      <c r="Z95" s="77">
        <v>4272</v>
      </c>
      <c r="AA95" s="77"/>
      <c r="AB95" s="77"/>
      <c r="AC95" s="77"/>
      <c r="AD95" s="77"/>
      <c r="AE95" s="77"/>
      <c r="AF95" s="77"/>
      <c r="AG95" s="77">
        <f aca="true" t="shared" si="15" ref="AG95:AG130">E95+J95+K95+L95+N95+P95+Q95+R95+S95+X95+Y95+T95+U95+V95+AD95+AA95+W95+AE95</f>
        <v>0</v>
      </c>
      <c r="AH95" s="76">
        <f aca="true" t="shared" si="16" ref="AH95:AH130">SUM(E95:AF95)</f>
        <v>128956</v>
      </c>
    </row>
    <row r="96" spans="1:34" ht="11.25">
      <c r="A96" s="74" t="s">
        <v>190</v>
      </c>
      <c r="B96" s="73" t="s">
        <v>191</v>
      </c>
      <c r="C96" s="74"/>
      <c r="D96" s="75"/>
      <c r="E96" s="77"/>
      <c r="F96" s="78">
        <v>59977</v>
      </c>
      <c r="G96" s="77">
        <v>5078</v>
      </c>
      <c r="H96" s="77">
        <v>10018</v>
      </c>
      <c r="I96" s="77">
        <v>1594</v>
      </c>
      <c r="J96" s="77"/>
      <c r="K96" s="77"/>
      <c r="L96" s="77">
        <v>1800</v>
      </c>
      <c r="M96" s="77">
        <v>4000</v>
      </c>
      <c r="N96" s="77"/>
      <c r="O96" s="77">
        <v>25531</v>
      </c>
      <c r="P96" s="75"/>
      <c r="Q96" s="77"/>
      <c r="R96" s="77"/>
      <c r="S96" s="77"/>
      <c r="T96" s="77"/>
      <c r="U96" s="77"/>
      <c r="V96" s="77"/>
      <c r="W96" s="77"/>
      <c r="X96" s="77"/>
      <c r="Y96" s="77"/>
      <c r="Z96" s="77">
        <v>2670</v>
      </c>
      <c r="AA96" s="77"/>
      <c r="AB96" s="77"/>
      <c r="AC96" s="77"/>
      <c r="AD96" s="77"/>
      <c r="AE96" s="77"/>
      <c r="AF96" s="77"/>
      <c r="AG96" s="77">
        <f t="shared" si="15"/>
        <v>1800</v>
      </c>
      <c r="AH96" s="76">
        <f t="shared" si="16"/>
        <v>110668</v>
      </c>
    </row>
    <row r="97" spans="1:34" ht="11.25">
      <c r="A97" s="74" t="s">
        <v>151</v>
      </c>
      <c r="B97" s="73">
        <v>6</v>
      </c>
      <c r="C97" s="74"/>
      <c r="D97" s="75"/>
      <c r="E97" s="77"/>
      <c r="F97" s="78">
        <v>101087</v>
      </c>
      <c r="G97" s="77">
        <v>8521</v>
      </c>
      <c r="H97" s="77">
        <v>18266</v>
      </c>
      <c r="I97" s="77">
        <v>2906</v>
      </c>
      <c r="J97" s="77"/>
      <c r="K97" s="77"/>
      <c r="L97" s="77">
        <v>5000</v>
      </c>
      <c r="M97" s="77"/>
      <c r="N97" s="77"/>
      <c r="O97" s="77">
        <v>13458</v>
      </c>
      <c r="P97" s="75">
        <v>1700</v>
      </c>
      <c r="Q97" s="77"/>
      <c r="R97" s="77">
        <v>3365</v>
      </c>
      <c r="S97" s="77"/>
      <c r="T97" s="77"/>
      <c r="U97" s="77"/>
      <c r="V97" s="77"/>
      <c r="W97" s="77"/>
      <c r="X97" s="77"/>
      <c r="Y97" s="77"/>
      <c r="Z97" s="77">
        <v>4806</v>
      </c>
      <c r="AA97" s="77"/>
      <c r="AB97" s="77"/>
      <c r="AC97" s="77"/>
      <c r="AD97" s="77"/>
      <c r="AE97" s="77"/>
      <c r="AF97" s="77"/>
      <c r="AG97" s="77">
        <f t="shared" si="15"/>
        <v>10065</v>
      </c>
      <c r="AH97" s="76">
        <f t="shared" si="16"/>
        <v>159109</v>
      </c>
    </row>
    <row r="98" spans="1:34" ht="11.25">
      <c r="A98" s="86" t="s">
        <v>192</v>
      </c>
      <c r="B98" s="73" t="s">
        <v>193</v>
      </c>
      <c r="C98" s="74"/>
      <c r="D98" s="75"/>
      <c r="E98" s="77"/>
      <c r="F98" s="78">
        <v>61112</v>
      </c>
      <c r="G98" s="77">
        <v>5132</v>
      </c>
      <c r="H98" s="77">
        <v>10614</v>
      </c>
      <c r="I98" s="77">
        <v>1689</v>
      </c>
      <c r="J98" s="77"/>
      <c r="K98" s="77"/>
      <c r="L98" s="77"/>
      <c r="M98" s="77"/>
      <c r="N98" s="77"/>
      <c r="O98" s="77">
        <v>3429</v>
      </c>
      <c r="P98" s="75"/>
      <c r="Q98" s="77"/>
      <c r="R98" s="77"/>
      <c r="S98" s="77"/>
      <c r="T98" s="77"/>
      <c r="U98" s="77"/>
      <c r="V98" s="77"/>
      <c r="W98" s="77"/>
      <c r="X98" s="74"/>
      <c r="Y98" s="77"/>
      <c r="Z98" s="77">
        <v>2670</v>
      </c>
      <c r="AA98" s="77"/>
      <c r="AB98" s="77"/>
      <c r="AC98" s="77"/>
      <c r="AD98" s="77"/>
      <c r="AE98" s="77"/>
      <c r="AF98" s="77"/>
      <c r="AG98" s="77">
        <f t="shared" si="15"/>
        <v>0</v>
      </c>
      <c r="AH98" s="76">
        <f t="shared" si="16"/>
        <v>84646</v>
      </c>
    </row>
    <row r="99" spans="1:34" ht="11.25">
      <c r="A99" s="86" t="s">
        <v>152</v>
      </c>
      <c r="B99" s="73">
        <v>8</v>
      </c>
      <c r="C99" s="74"/>
      <c r="D99" s="75"/>
      <c r="E99" s="77"/>
      <c r="F99" s="78">
        <v>112611</v>
      </c>
      <c r="G99" s="77">
        <v>8950</v>
      </c>
      <c r="H99" s="77">
        <v>18720</v>
      </c>
      <c r="I99" s="77">
        <v>2978</v>
      </c>
      <c r="J99" s="77"/>
      <c r="K99" s="77"/>
      <c r="L99" s="77"/>
      <c r="M99" s="77"/>
      <c r="N99" s="77"/>
      <c r="O99" s="77"/>
      <c r="P99" s="75"/>
      <c r="Q99" s="77"/>
      <c r="R99" s="77">
        <v>2000</v>
      </c>
      <c r="S99" s="77"/>
      <c r="T99" s="77"/>
      <c r="U99" s="77"/>
      <c r="V99" s="77"/>
      <c r="W99" s="77"/>
      <c r="X99" s="74"/>
      <c r="Y99" s="77"/>
      <c r="Z99" s="77">
        <v>4806</v>
      </c>
      <c r="AA99" s="77"/>
      <c r="AB99" s="77"/>
      <c r="AC99" s="77"/>
      <c r="AD99" s="77"/>
      <c r="AE99" s="77"/>
      <c r="AF99" s="77"/>
      <c r="AG99" s="77">
        <f t="shared" si="15"/>
        <v>2000</v>
      </c>
      <c r="AH99" s="76">
        <f t="shared" si="16"/>
        <v>150065</v>
      </c>
    </row>
    <row r="100" spans="1:34" ht="11.25">
      <c r="A100" s="86" t="s">
        <v>153</v>
      </c>
      <c r="B100" s="73">
        <v>10</v>
      </c>
      <c r="C100" s="74"/>
      <c r="D100" s="75"/>
      <c r="E100" s="77"/>
      <c r="F100" s="78">
        <v>117814</v>
      </c>
      <c r="G100" s="77">
        <v>9951</v>
      </c>
      <c r="H100" s="77">
        <v>21237</v>
      </c>
      <c r="I100" s="77">
        <v>3379</v>
      </c>
      <c r="J100" s="77"/>
      <c r="K100" s="77"/>
      <c r="L100" s="77">
        <v>3500</v>
      </c>
      <c r="M100" s="77">
        <v>4000</v>
      </c>
      <c r="N100" s="77"/>
      <c r="O100" s="77">
        <v>24060</v>
      </c>
      <c r="P100" s="75"/>
      <c r="Q100" s="77"/>
      <c r="R100" s="77"/>
      <c r="S100" s="77"/>
      <c r="T100" s="77"/>
      <c r="U100" s="77"/>
      <c r="V100" s="77"/>
      <c r="W100" s="77"/>
      <c r="X100" s="77"/>
      <c r="Y100" s="77"/>
      <c r="Z100" s="77">
        <v>5340</v>
      </c>
      <c r="AA100" s="77"/>
      <c r="AB100" s="77"/>
      <c r="AC100" s="77"/>
      <c r="AD100" s="77"/>
      <c r="AE100" s="77"/>
      <c r="AF100" s="77"/>
      <c r="AG100" s="77">
        <f t="shared" si="15"/>
        <v>3500</v>
      </c>
      <c r="AH100" s="76">
        <f t="shared" si="16"/>
        <v>189281</v>
      </c>
    </row>
    <row r="101" spans="1:34" ht="11.25">
      <c r="A101" s="86" t="s">
        <v>221</v>
      </c>
      <c r="B101" s="73">
        <v>11</v>
      </c>
      <c r="C101" s="74"/>
      <c r="D101" s="75"/>
      <c r="E101" s="77"/>
      <c r="F101" s="78">
        <v>79669</v>
      </c>
      <c r="G101" s="77">
        <v>6748</v>
      </c>
      <c r="H101" s="77">
        <v>13575</v>
      </c>
      <c r="I101" s="77">
        <v>2160</v>
      </c>
      <c r="J101" s="77"/>
      <c r="K101" s="77"/>
      <c r="L101" s="77"/>
      <c r="M101" s="77"/>
      <c r="N101" s="77"/>
      <c r="O101" s="77">
        <v>3841</v>
      </c>
      <c r="P101" s="75"/>
      <c r="Q101" s="77"/>
      <c r="R101" s="77">
        <v>533</v>
      </c>
      <c r="S101" s="77"/>
      <c r="T101" s="77"/>
      <c r="U101" s="77"/>
      <c r="V101" s="77"/>
      <c r="W101" s="77"/>
      <c r="X101" s="74"/>
      <c r="Y101" s="77"/>
      <c r="Z101" s="77">
        <v>3738</v>
      </c>
      <c r="AA101" s="77"/>
      <c r="AB101" s="77"/>
      <c r="AC101" s="77"/>
      <c r="AD101" s="77"/>
      <c r="AE101" s="77"/>
      <c r="AF101" s="77"/>
      <c r="AG101" s="77">
        <f t="shared" si="15"/>
        <v>533</v>
      </c>
      <c r="AH101" s="76">
        <f t="shared" si="16"/>
        <v>110264</v>
      </c>
    </row>
    <row r="102" spans="1:34" ht="11.25">
      <c r="A102" s="86" t="s">
        <v>222</v>
      </c>
      <c r="B102" s="73">
        <v>12</v>
      </c>
      <c r="C102" s="74"/>
      <c r="D102" s="75"/>
      <c r="E102" s="77">
        <v>600</v>
      </c>
      <c r="F102" s="78">
        <v>139944</v>
      </c>
      <c r="G102" s="77">
        <v>10795</v>
      </c>
      <c r="H102" s="77">
        <v>23214</v>
      </c>
      <c r="I102" s="77">
        <v>3693</v>
      </c>
      <c r="J102" s="77"/>
      <c r="K102" s="77"/>
      <c r="L102" s="77"/>
      <c r="M102" s="77">
        <v>2000</v>
      </c>
      <c r="N102" s="77"/>
      <c r="O102" s="77">
        <v>15361</v>
      </c>
      <c r="P102" s="75">
        <v>1750</v>
      </c>
      <c r="Q102" s="77"/>
      <c r="R102" s="77"/>
      <c r="S102" s="77"/>
      <c r="T102" s="77"/>
      <c r="U102" s="77"/>
      <c r="V102" s="77"/>
      <c r="W102" s="77"/>
      <c r="X102" s="74"/>
      <c r="Y102" s="77"/>
      <c r="Z102" s="77">
        <v>6408</v>
      </c>
      <c r="AA102" s="77"/>
      <c r="AB102" s="77"/>
      <c r="AC102" s="77"/>
      <c r="AD102" s="77"/>
      <c r="AE102" s="77"/>
      <c r="AF102" s="77"/>
      <c r="AG102" s="77">
        <f t="shared" si="15"/>
        <v>2350</v>
      </c>
      <c r="AH102" s="76">
        <f t="shared" si="16"/>
        <v>203765</v>
      </c>
    </row>
    <row r="103" spans="1:34" ht="11.25">
      <c r="A103" s="86" t="s">
        <v>156</v>
      </c>
      <c r="B103" s="73">
        <v>13</v>
      </c>
      <c r="C103" s="74"/>
      <c r="D103" s="75"/>
      <c r="E103" s="77">
        <v>500</v>
      </c>
      <c r="F103" s="78">
        <v>67520</v>
      </c>
      <c r="G103" s="77">
        <v>5747</v>
      </c>
      <c r="H103" s="77">
        <v>11775</v>
      </c>
      <c r="I103" s="77">
        <v>1873</v>
      </c>
      <c r="J103" s="77"/>
      <c r="K103" s="77"/>
      <c r="L103" s="77">
        <v>1300</v>
      </c>
      <c r="M103" s="77"/>
      <c r="N103" s="77"/>
      <c r="O103" s="77">
        <v>5038</v>
      </c>
      <c r="P103" s="75">
        <v>500</v>
      </c>
      <c r="Q103" s="77"/>
      <c r="R103" s="77">
        <v>1200</v>
      </c>
      <c r="S103" s="77"/>
      <c r="T103" s="77">
        <v>300</v>
      </c>
      <c r="U103" s="77">
        <v>200</v>
      </c>
      <c r="V103" s="77"/>
      <c r="W103" s="77"/>
      <c r="X103" s="74"/>
      <c r="Y103" s="77"/>
      <c r="Z103" s="77">
        <v>3204</v>
      </c>
      <c r="AA103" s="77"/>
      <c r="AB103" s="77"/>
      <c r="AC103" s="77"/>
      <c r="AD103" s="77"/>
      <c r="AE103" s="77"/>
      <c r="AF103" s="77"/>
      <c r="AG103" s="77">
        <f t="shared" si="15"/>
        <v>4000</v>
      </c>
      <c r="AH103" s="76">
        <f t="shared" si="16"/>
        <v>99157</v>
      </c>
    </row>
    <row r="104" spans="1:34" ht="11.25">
      <c r="A104" s="86" t="s">
        <v>157</v>
      </c>
      <c r="B104" s="73">
        <v>14</v>
      </c>
      <c r="C104" s="74"/>
      <c r="D104" s="75"/>
      <c r="E104" s="77"/>
      <c r="F104" s="78">
        <v>119124</v>
      </c>
      <c r="G104" s="77">
        <v>9973</v>
      </c>
      <c r="H104" s="77">
        <v>21025</v>
      </c>
      <c r="I104" s="77">
        <v>3345</v>
      </c>
      <c r="J104" s="77"/>
      <c r="K104" s="77"/>
      <c r="L104" s="77"/>
      <c r="M104" s="77"/>
      <c r="N104" s="77"/>
      <c r="O104" s="77">
        <v>24231</v>
      </c>
      <c r="P104" s="75"/>
      <c r="Q104" s="77"/>
      <c r="R104" s="77"/>
      <c r="S104" s="77"/>
      <c r="T104" s="77"/>
      <c r="U104" s="77"/>
      <c r="V104" s="77"/>
      <c r="W104" s="77"/>
      <c r="X104" s="77"/>
      <c r="Y104" s="77"/>
      <c r="Z104" s="77">
        <v>5340</v>
      </c>
      <c r="AA104" s="77"/>
      <c r="AB104" s="77"/>
      <c r="AC104" s="77"/>
      <c r="AD104" s="77"/>
      <c r="AE104" s="77"/>
      <c r="AF104" s="77"/>
      <c r="AG104" s="77">
        <f t="shared" si="15"/>
        <v>0</v>
      </c>
      <c r="AH104" s="76">
        <f t="shared" si="16"/>
        <v>183038</v>
      </c>
    </row>
    <row r="105" spans="1:34" ht="11.25">
      <c r="A105" s="86" t="s">
        <v>158</v>
      </c>
      <c r="B105" s="73">
        <v>16</v>
      </c>
      <c r="C105" s="74"/>
      <c r="D105" s="75"/>
      <c r="E105" s="77">
        <v>500</v>
      </c>
      <c r="F105" s="78">
        <v>77917</v>
      </c>
      <c r="G105" s="77">
        <v>6722</v>
      </c>
      <c r="H105" s="77">
        <v>13441</v>
      </c>
      <c r="I105" s="77">
        <v>2138</v>
      </c>
      <c r="J105" s="77"/>
      <c r="K105" s="77"/>
      <c r="L105" s="77">
        <v>2700</v>
      </c>
      <c r="M105" s="77">
        <v>3000</v>
      </c>
      <c r="N105" s="77"/>
      <c r="O105" s="77">
        <v>2180</v>
      </c>
      <c r="P105" s="75"/>
      <c r="Q105" s="77"/>
      <c r="R105" s="77">
        <v>1000</v>
      </c>
      <c r="S105" s="74"/>
      <c r="T105" s="74"/>
      <c r="U105" s="74"/>
      <c r="V105" s="74"/>
      <c r="W105" s="74"/>
      <c r="X105" s="74"/>
      <c r="Y105" s="77"/>
      <c r="Z105" s="77">
        <v>3738</v>
      </c>
      <c r="AA105" s="77"/>
      <c r="AB105" s="77"/>
      <c r="AC105" s="77"/>
      <c r="AD105" s="77"/>
      <c r="AE105" s="77"/>
      <c r="AF105" s="77"/>
      <c r="AG105" s="77">
        <f t="shared" si="15"/>
        <v>4200</v>
      </c>
      <c r="AH105" s="76">
        <f t="shared" si="16"/>
        <v>113336</v>
      </c>
    </row>
    <row r="106" spans="1:34" ht="11.25">
      <c r="A106" s="86" t="s">
        <v>159</v>
      </c>
      <c r="B106" s="73">
        <v>17</v>
      </c>
      <c r="C106" s="74"/>
      <c r="D106" s="75"/>
      <c r="E106" s="77">
        <v>500</v>
      </c>
      <c r="F106" s="78">
        <v>88794</v>
      </c>
      <c r="G106" s="77">
        <v>7650</v>
      </c>
      <c r="H106" s="77">
        <v>15094</v>
      </c>
      <c r="I106" s="77">
        <v>2401</v>
      </c>
      <c r="J106" s="77"/>
      <c r="K106" s="77"/>
      <c r="L106" s="77">
        <v>2900</v>
      </c>
      <c r="M106" s="77"/>
      <c r="N106" s="77"/>
      <c r="O106" s="77">
        <v>7130</v>
      </c>
      <c r="P106" s="75">
        <v>1480</v>
      </c>
      <c r="Q106" s="77">
        <v>230</v>
      </c>
      <c r="R106" s="77">
        <v>2420</v>
      </c>
      <c r="S106" s="77"/>
      <c r="T106" s="77">
        <v>100</v>
      </c>
      <c r="U106" s="77">
        <v>200</v>
      </c>
      <c r="V106" s="77"/>
      <c r="W106" s="77"/>
      <c r="X106" s="74"/>
      <c r="Y106" s="77"/>
      <c r="Z106" s="77">
        <v>4005</v>
      </c>
      <c r="AA106" s="77"/>
      <c r="AB106" s="77"/>
      <c r="AC106" s="77"/>
      <c r="AD106" s="77"/>
      <c r="AE106" s="77"/>
      <c r="AF106" s="77"/>
      <c r="AG106" s="77">
        <f t="shared" si="15"/>
        <v>7830</v>
      </c>
      <c r="AH106" s="76">
        <f t="shared" si="16"/>
        <v>132904</v>
      </c>
    </row>
    <row r="107" spans="1:34" ht="11.25">
      <c r="A107" s="86" t="s">
        <v>160</v>
      </c>
      <c r="B107" s="73">
        <v>18</v>
      </c>
      <c r="C107" s="74"/>
      <c r="D107" s="75"/>
      <c r="E107" s="77"/>
      <c r="F107" s="78">
        <v>121234</v>
      </c>
      <c r="G107" s="77">
        <v>9311</v>
      </c>
      <c r="H107" s="77">
        <v>20104</v>
      </c>
      <c r="I107" s="77">
        <v>3198</v>
      </c>
      <c r="J107" s="77"/>
      <c r="K107" s="77"/>
      <c r="L107" s="77">
        <v>1000</v>
      </c>
      <c r="M107" s="77"/>
      <c r="N107" s="77"/>
      <c r="O107" s="77"/>
      <c r="P107" s="75"/>
      <c r="Q107" s="77"/>
      <c r="R107" s="77">
        <v>1500</v>
      </c>
      <c r="S107" s="77"/>
      <c r="T107" s="77"/>
      <c r="U107" s="77"/>
      <c r="V107" s="77"/>
      <c r="W107" s="77"/>
      <c r="X107" s="74"/>
      <c r="Y107" s="77"/>
      <c r="Z107" s="77">
        <v>5340</v>
      </c>
      <c r="AA107" s="77"/>
      <c r="AB107" s="77"/>
      <c r="AC107" s="77"/>
      <c r="AD107" s="77"/>
      <c r="AE107" s="77"/>
      <c r="AF107" s="77"/>
      <c r="AG107" s="77">
        <f t="shared" si="15"/>
        <v>2500</v>
      </c>
      <c r="AH107" s="76">
        <f t="shared" si="16"/>
        <v>161687</v>
      </c>
    </row>
    <row r="108" spans="1:34" ht="11.25">
      <c r="A108" s="86" t="s">
        <v>198</v>
      </c>
      <c r="B108" s="73" t="s">
        <v>199</v>
      </c>
      <c r="C108" s="74"/>
      <c r="D108" s="75"/>
      <c r="E108" s="77">
        <v>300</v>
      </c>
      <c r="F108" s="78">
        <v>89938</v>
      </c>
      <c r="G108" s="77">
        <v>7431</v>
      </c>
      <c r="H108" s="77">
        <v>14995</v>
      </c>
      <c r="I108" s="77">
        <v>2386</v>
      </c>
      <c r="J108" s="77"/>
      <c r="K108" s="77"/>
      <c r="L108" s="77">
        <v>2100</v>
      </c>
      <c r="M108" s="77">
        <v>2000</v>
      </c>
      <c r="N108" s="77"/>
      <c r="O108" s="77">
        <v>2152</v>
      </c>
      <c r="P108" s="75"/>
      <c r="Q108" s="77"/>
      <c r="R108" s="77">
        <v>2010</v>
      </c>
      <c r="S108" s="77"/>
      <c r="T108" s="77"/>
      <c r="U108" s="77"/>
      <c r="V108" s="77"/>
      <c r="W108" s="77"/>
      <c r="X108" s="74"/>
      <c r="Y108" s="77"/>
      <c r="Z108" s="77">
        <v>3738</v>
      </c>
      <c r="AA108" s="77"/>
      <c r="AB108" s="77"/>
      <c r="AC108" s="77"/>
      <c r="AD108" s="77"/>
      <c r="AE108" s="77"/>
      <c r="AF108" s="77"/>
      <c r="AG108" s="77">
        <f t="shared" si="15"/>
        <v>4410</v>
      </c>
      <c r="AH108" s="76">
        <f t="shared" si="16"/>
        <v>127050</v>
      </c>
    </row>
    <row r="109" spans="1:34" ht="11.25">
      <c r="A109" s="86" t="s">
        <v>161</v>
      </c>
      <c r="B109" s="73">
        <v>20</v>
      </c>
      <c r="C109" s="74"/>
      <c r="D109" s="75"/>
      <c r="E109" s="77">
        <v>500</v>
      </c>
      <c r="F109" s="78">
        <v>81515</v>
      </c>
      <c r="G109" s="77">
        <v>5930</v>
      </c>
      <c r="H109" s="77">
        <v>13929</v>
      </c>
      <c r="I109" s="77">
        <v>2216</v>
      </c>
      <c r="J109" s="77">
        <v>600</v>
      </c>
      <c r="K109" s="77"/>
      <c r="L109" s="77">
        <v>2500</v>
      </c>
      <c r="M109" s="77"/>
      <c r="N109" s="77"/>
      <c r="O109" s="77">
        <v>2130</v>
      </c>
      <c r="P109" s="75">
        <v>2000</v>
      </c>
      <c r="Q109" s="77"/>
      <c r="R109" s="77">
        <v>2000</v>
      </c>
      <c r="S109" s="77"/>
      <c r="T109" s="77"/>
      <c r="U109" s="77"/>
      <c r="V109" s="77"/>
      <c r="W109" s="77"/>
      <c r="X109" s="74"/>
      <c r="Y109" s="77"/>
      <c r="Z109" s="77">
        <v>3471</v>
      </c>
      <c r="AA109" s="77"/>
      <c r="AB109" s="77"/>
      <c r="AC109" s="77"/>
      <c r="AD109" s="77"/>
      <c r="AE109" s="77"/>
      <c r="AF109" s="77"/>
      <c r="AG109" s="77">
        <f t="shared" si="15"/>
        <v>7600</v>
      </c>
      <c r="AH109" s="76">
        <f t="shared" si="16"/>
        <v>116791</v>
      </c>
    </row>
    <row r="110" spans="1:34" ht="11.25">
      <c r="A110" s="86" t="s">
        <v>162</v>
      </c>
      <c r="B110" s="73">
        <v>21</v>
      </c>
      <c r="C110" s="74"/>
      <c r="D110" s="75"/>
      <c r="E110" s="77">
        <v>800</v>
      </c>
      <c r="F110" s="78">
        <v>106596</v>
      </c>
      <c r="G110" s="77">
        <v>8737</v>
      </c>
      <c r="H110" s="77">
        <v>17761</v>
      </c>
      <c r="I110" s="77">
        <v>2826</v>
      </c>
      <c r="J110" s="77"/>
      <c r="K110" s="77"/>
      <c r="L110" s="77">
        <v>2700</v>
      </c>
      <c r="M110" s="77"/>
      <c r="N110" s="77"/>
      <c r="O110" s="77">
        <v>2424</v>
      </c>
      <c r="P110" s="75">
        <v>1500</v>
      </c>
      <c r="Q110" s="77">
        <v>500</v>
      </c>
      <c r="R110" s="77"/>
      <c r="S110" s="77"/>
      <c r="T110" s="77"/>
      <c r="U110" s="77"/>
      <c r="V110" s="77"/>
      <c r="W110" s="77"/>
      <c r="X110" s="74"/>
      <c r="Y110" s="77"/>
      <c r="Z110" s="77">
        <v>4806</v>
      </c>
      <c r="AA110" s="77"/>
      <c r="AB110" s="77"/>
      <c r="AC110" s="77"/>
      <c r="AD110" s="77">
        <v>500</v>
      </c>
      <c r="AE110" s="77"/>
      <c r="AF110" s="77"/>
      <c r="AG110" s="77">
        <f t="shared" si="15"/>
        <v>6000</v>
      </c>
      <c r="AH110" s="76">
        <f t="shared" si="16"/>
        <v>149150</v>
      </c>
    </row>
    <row r="111" spans="1:34" ht="11.25">
      <c r="A111" s="86" t="s">
        <v>163</v>
      </c>
      <c r="B111" s="73">
        <v>23</v>
      </c>
      <c r="C111" s="74"/>
      <c r="D111" s="75"/>
      <c r="E111" s="77">
        <v>600</v>
      </c>
      <c r="F111" s="78">
        <v>74675</v>
      </c>
      <c r="G111" s="77">
        <v>5995</v>
      </c>
      <c r="H111" s="77">
        <v>12423</v>
      </c>
      <c r="I111" s="77">
        <v>1976</v>
      </c>
      <c r="J111" s="77"/>
      <c r="K111" s="77"/>
      <c r="L111" s="77">
        <v>1600</v>
      </c>
      <c r="M111" s="77"/>
      <c r="N111" s="77"/>
      <c r="O111" s="77">
        <v>6605</v>
      </c>
      <c r="P111" s="75"/>
      <c r="Q111" s="77">
        <v>100</v>
      </c>
      <c r="R111" s="77">
        <v>700</v>
      </c>
      <c r="S111" s="77"/>
      <c r="T111" s="77"/>
      <c r="U111" s="77"/>
      <c r="V111" s="77"/>
      <c r="W111" s="77"/>
      <c r="X111" s="74"/>
      <c r="Y111" s="77"/>
      <c r="Z111" s="77">
        <v>3204</v>
      </c>
      <c r="AA111" s="77"/>
      <c r="AB111" s="77"/>
      <c r="AC111" s="77"/>
      <c r="AD111" s="77"/>
      <c r="AE111" s="77"/>
      <c r="AF111" s="77"/>
      <c r="AG111" s="77">
        <f t="shared" si="15"/>
        <v>3000</v>
      </c>
      <c r="AH111" s="76">
        <f t="shared" si="16"/>
        <v>107878</v>
      </c>
    </row>
    <row r="112" spans="1:34" ht="11.25">
      <c r="A112" s="86" t="s">
        <v>164</v>
      </c>
      <c r="B112" s="73">
        <v>26</v>
      </c>
      <c r="C112" s="74"/>
      <c r="D112" s="75"/>
      <c r="E112" s="77">
        <v>250</v>
      </c>
      <c r="F112" s="78">
        <v>82249</v>
      </c>
      <c r="G112" s="77">
        <v>6761</v>
      </c>
      <c r="H112" s="77">
        <v>13892</v>
      </c>
      <c r="I112" s="77">
        <v>2210</v>
      </c>
      <c r="J112" s="77"/>
      <c r="K112" s="77"/>
      <c r="L112" s="77"/>
      <c r="M112" s="77">
        <v>2000</v>
      </c>
      <c r="N112" s="77"/>
      <c r="O112" s="77">
        <v>6820</v>
      </c>
      <c r="P112" s="75"/>
      <c r="Q112" s="77"/>
      <c r="R112" s="77"/>
      <c r="S112" s="77"/>
      <c r="T112" s="77"/>
      <c r="U112" s="77"/>
      <c r="V112" s="77"/>
      <c r="W112" s="77"/>
      <c r="X112" s="74"/>
      <c r="Y112" s="77"/>
      <c r="Z112" s="77">
        <v>3738</v>
      </c>
      <c r="AA112" s="77"/>
      <c r="AB112" s="77"/>
      <c r="AC112" s="77"/>
      <c r="AD112" s="77"/>
      <c r="AE112" s="77"/>
      <c r="AF112" s="77"/>
      <c r="AG112" s="77">
        <f t="shared" si="15"/>
        <v>250</v>
      </c>
      <c r="AH112" s="76">
        <f t="shared" si="16"/>
        <v>117920</v>
      </c>
    </row>
    <row r="113" spans="1:34" ht="11.25">
      <c r="A113" s="86" t="s">
        <v>200</v>
      </c>
      <c r="B113" s="73" t="s">
        <v>201</v>
      </c>
      <c r="C113" s="74"/>
      <c r="D113" s="75"/>
      <c r="E113" s="77"/>
      <c r="F113" s="78">
        <v>56261</v>
      </c>
      <c r="G113" s="77">
        <v>4800</v>
      </c>
      <c r="H113" s="77">
        <v>9403</v>
      </c>
      <c r="I113" s="77">
        <v>1496</v>
      </c>
      <c r="J113" s="77"/>
      <c r="K113" s="77"/>
      <c r="L113" s="77">
        <v>2200</v>
      </c>
      <c r="M113" s="77"/>
      <c r="N113" s="77"/>
      <c r="O113" s="77">
        <v>5000</v>
      </c>
      <c r="P113" s="75"/>
      <c r="Q113" s="77"/>
      <c r="R113" s="77">
        <v>1800</v>
      </c>
      <c r="S113" s="77"/>
      <c r="T113" s="77"/>
      <c r="U113" s="77"/>
      <c r="V113" s="77"/>
      <c r="W113" s="77"/>
      <c r="X113" s="74"/>
      <c r="Y113" s="77"/>
      <c r="Z113" s="77">
        <v>2670</v>
      </c>
      <c r="AA113" s="77"/>
      <c r="AB113" s="77"/>
      <c r="AC113" s="77"/>
      <c r="AD113" s="77"/>
      <c r="AE113" s="77"/>
      <c r="AF113" s="77"/>
      <c r="AG113" s="77">
        <f t="shared" si="15"/>
        <v>4000</v>
      </c>
      <c r="AH113" s="76">
        <f t="shared" si="16"/>
        <v>83630</v>
      </c>
    </row>
    <row r="114" spans="1:34" ht="11.25">
      <c r="A114" s="86" t="s">
        <v>165</v>
      </c>
      <c r="B114" s="73">
        <v>28</v>
      </c>
      <c r="C114" s="74"/>
      <c r="D114" s="75"/>
      <c r="E114" s="77"/>
      <c r="F114" s="78">
        <v>98332</v>
      </c>
      <c r="G114" s="77">
        <v>8048</v>
      </c>
      <c r="H114" s="77">
        <v>16383</v>
      </c>
      <c r="I114" s="77">
        <v>2606</v>
      </c>
      <c r="J114" s="77"/>
      <c r="K114" s="77"/>
      <c r="L114" s="77">
        <v>500</v>
      </c>
      <c r="M114" s="77"/>
      <c r="N114" s="77"/>
      <c r="O114" s="77">
        <v>5327</v>
      </c>
      <c r="P114" s="75"/>
      <c r="Q114" s="77"/>
      <c r="R114" s="77">
        <v>500</v>
      </c>
      <c r="S114" s="77"/>
      <c r="T114" s="77"/>
      <c r="U114" s="77"/>
      <c r="V114" s="77"/>
      <c r="W114" s="77"/>
      <c r="X114" s="74"/>
      <c r="Y114" s="77"/>
      <c r="Z114" s="77">
        <v>4272</v>
      </c>
      <c r="AA114" s="77"/>
      <c r="AB114" s="77"/>
      <c r="AC114" s="77"/>
      <c r="AD114" s="77"/>
      <c r="AE114" s="77"/>
      <c r="AF114" s="77"/>
      <c r="AG114" s="77">
        <f t="shared" si="15"/>
        <v>1000</v>
      </c>
      <c r="AH114" s="76">
        <f t="shared" si="16"/>
        <v>135968</v>
      </c>
    </row>
    <row r="115" spans="1:34" ht="11.25">
      <c r="A115" s="86" t="s">
        <v>166</v>
      </c>
      <c r="B115" s="73">
        <v>29</v>
      </c>
      <c r="C115" s="74"/>
      <c r="D115" s="75"/>
      <c r="E115" s="77">
        <v>400</v>
      </c>
      <c r="F115" s="78">
        <v>84297</v>
      </c>
      <c r="G115" s="77">
        <v>7179</v>
      </c>
      <c r="H115" s="77">
        <v>14087</v>
      </c>
      <c r="I115" s="77">
        <v>2241</v>
      </c>
      <c r="J115" s="77"/>
      <c r="K115" s="77"/>
      <c r="L115" s="77">
        <v>3000</v>
      </c>
      <c r="M115" s="77">
        <v>5368</v>
      </c>
      <c r="N115" s="77"/>
      <c r="O115" s="77">
        <v>10011</v>
      </c>
      <c r="P115" s="75"/>
      <c r="Q115" s="77"/>
      <c r="R115" s="77">
        <v>3500</v>
      </c>
      <c r="S115" s="77"/>
      <c r="T115" s="77"/>
      <c r="U115" s="77"/>
      <c r="V115" s="77"/>
      <c r="W115" s="77"/>
      <c r="X115" s="74"/>
      <c r="Y115" s="77"/>
      <c r="Z115" s="77">
        <v>3738</v>
      </c>
      <c r="AA115" s="77"/>
      <c r="AB115" s="77"/>
      <c r="AC115" s="77"/>
      <c r="AD115" s="77"/>
      <c r="AE115" s="77"/>
      <c r="AF115" s="77"/>
      <c r="AG115" s="77">
        <f t="shared" si="15"/>
        <v>6900</v>
      </c>
      <c r="AH115" s="76">
        <f t="shared" si="16"/>
        <v>133821</v>
      </c>
    </row>
    <row r="116" spans="1:34" ht="11.25">
      <c r="A116" s="86" t="s">
        <v>167</v>
      </c>
      <c r="B116" s="73">
        <v>31</v>
      </c>
      <c r="C116" s="74"/>
      <c r="D116" s="75"/>
      <c r="E116" s="77">
        <v>500</v>
      </c>
      <c r="F116" s="78">
        <v>130429</v>
      </c>
      <c r="G116" s="77">
        <v>11547</v>
      </c>
      <c r="H116" s="77">
        <v>22835</v>
      </c>
      <c r="I116" s="77">
        <v>3633</v>
      </c>
      <c r="J116" s="77"/>
      <c r="K116" s="77"/>
      <c r="L116" s="77">
        <v>3000</v>
      </c>
      <c r="M116" s="77">
        <v>3000</v>
      </c>
      <c r="N116" s="77"/>
      <c r="O116" s="77">
        <v>35100</v>
      </c>
      <c r="P116" s="75">
        <v>2000</v>
      </c>
      <c r="Q116" s="77"/>
      <c r="R116" s="77">
        <v>2500</v>
      </c>
      <c r="S116" s="77"/>
      <c r="T116" s="77"/>
      <c r="U116" s="77"/>
      <c r="V116" s="77"/>
      <c r="W116" s="77"/>
      <c r="X116" s="74"/>
      <c r="Y116" s="77"/>
      <c r="Z116" s="77">
        <v>5874</v>
      </c>
      <c r="AA116" s="77"/>
      <c r="AB116" s="77"/>
      <c r="AC116" s="77"/>
      <c r="AD116" s="77"/>
      <c r="AE116" s="77"/>
      <c r="AF116" s="77"/>
      <c r="AG116" s="77">
        <f t="shared" si="15"/>
        <v>8000</v>
      </c>
      <c r="AH116" s="76">
        <f t="shared" si="16"/>
        <v>220418</v>
      </c>
    </row>
    <row r="117" spans="1:34" ht="11.25">
      <c r="A117" s="86" t="s">
        <v>168</v>
      </c>
      <c r="B117" s="73">
        <v>33</v>
      </c>
      <c r="C117" s="74"/>
      <c r="D117" s="75"/>
      <c r="E117" s="77">
        <v>1500</v>
      </c>
      <c r="F117" s="78">
        <v>121646</v>
      </c>
      <c r="G117" s="77">
        <v>10237</v>
      </c>
      <c r="H117" s="77">
        <v>20310</v>
      </c>
      <c r="I117" s="77">
        <v>3231</v>
      </c>
      <c r="J117" s="77"/>
      <c r="K117" s="77"/>
      <c r="L117" s="77">
        <v>5000</v>
      </c>
      <c r="M117" s="77"/>
      <c r="N117" s="77"/>
      <c r="O117" s="77"/>
      <c r="P117" s="75">
        <v>1000</v>
      </c>
      <c r="Q117" s="77">
        <v>1000</v>
      </c>
      <c r="R117" s="77"/>
      <c r="S117" s="77"/>
      <c r="T117" s="77"/>
      <c r="U117" s="77"/>
      <c r="V117" s="77"/>
      <c r="W117" s="77"/>
      <c r="X117" s="74"/>
      <c r="Y117" s="77"/>
      <c r="Z117" s="77">
        <v>5340</v>
      </c>
      <c r="AA117" s="77"/>
      <c r="AB117" s="77"/>
      <c r="AC117" s="77"/>
      <c r="AD117" s="77"/>
      <c r="AE117" s="77"/>
      <c r="AF117" s="77"/>
      <c r="AG117" s="77">
        <f t="shared" si="15"/>
        <v>8500</v>
      </c>
      <c r="AH117" s="76">
        <f t="shared" si="16"/>
        <v>169264</v>
      </c>
    </row>
    <row r="118" spans="1:34" ht="11.25">
      <c r="A118" s="86" t="s">
        <v>169</v>
      </c>
      <c r="B118" s="73">
        <v>34</v>
      </c>
      <c r="C118" s="74"/>
      <c r="D118" s="75"/>
      <c r="E118" s="77">
        <v>800</v>
      </c>
      <c r="F118" s="78">
        <v>89070</v>
      </c>
      <c r="G118" s="77">
        <v>7555</v>
      </c>
      <c r="H118" s="77">
        <v>14880</v>
      </c>
      <c r="I118" s="77">
        <v>2367</v>
      </c>
      <c r="J118" s="77"/>
      <c r="K118" s="77"/>
      <c r="L118" s="77">
        <v>1700</v>
      </c>
      <c r="M118" s="77">
        <v>2500</v>
      </c>
      <c r="N118" s="77"/>
      <c r="O118" s="77"/>
      <c r="P118" s="75"/>
      <c r="Q118" s="77"/>
      <c r="R118" s="77"/>
      <c r="S118" s="77"/>
      <c r="T118" s="77"/>
      <c r="U118" s="77"/>
      <c r="V118" s="77"/>
      <c r="W118" s="77"/>
      <c r="X118" s="74"/>
      <c r="Y118" s="77"/>
      <c r="Z118" s="77">
        <v>4005</v>
      </c>
      <c r="AA118" s="77"/>
      <c r="AB118" s="77"/>
      <c r="AC118" s="77"/>
      <c r="AD118" s="77"/>
      <c r="AE118" s="77"/>
      <c r="AF118" s="77"/>
      <c r="AG118" s="77">
        <f t="shared" si="15"/>
        <v>2500</v>
      </c>
      <c r="AH118" s="76">
        <f t="shared" si="16"/>
        <v>122877</v>
      </c>
    </row>
    <row r="119" spans="1:34" ht="11.25">
      <c r="A119" s="86" t="s">
        <v>170</v>
      </c>
      <c r="B119" s="73">
        <v>35</v>
      </c>
      <c r="C119" s="74"/>
      <c r="D119" s="75"/>
      <c r="E119" s="77">
        <v>400</v>
      </c>
      <c r="F119" s="78">
        <v>100675</v>
      </c>
      <c r="G119" s="77">
        <v>8473</v>
      </c>
      <c r="H119" s="77">
        <v>16809</v>
      </c>
      <c r="I119" s="77">
        <v>2674</v>
      </c>
      <c r="J119" s="77"/>
      <c r="K119" s="77"/>
      <c r="L119" s="77">
        <v>2500</v>
      </c>
      <c r="M119" s="77">
        <v>7000</v>
      </c>
      <c r="N119" s="77"/>
      <c r="O119" s="77">
        <v>5054</v>
      </c>
      <c r="P119" s="75">
        <v>800</v>
      </c>
      <c r="Q119" s="77">
        <v>200</v>
      </c>
      <c r="R119" s="77">
        <v>1200</v>
      </c>
      <c r="S119" s="77"/>
      <c r="T119" s="77"/>
      <c r="U119" s="77"/>
      <c r="V119" s="77"/>
      <c r="W119" s="77"/>
      <c r="X119" s="74"/>
      <c r="Y119" s="77"/>
      <c r="Z119" s="77">
        <v>4272</v>
      </c>
      <c r="AA119" s="77"/>
      <c r="AB119" s="77"/>
      <c r="AC119" s="77"/>
      <c r="AD119" s="77"/>
      <c r="AE119" s="77"/>
      <c r="AF119" s="77"/>
      <c r="AG119" s="77">
        <f t="shared" si="15"/>
        <v>5100</v>
      </c>
      <c r="AH119" s="76">
        <f t="shared" si="16"/>
        <v>150057</v>
      </c>
    </row>
    <row r="120" spans="1:34" ht="11.25">
      <c r="A120" s="86" t="s">
        <v>203</v>
      </c>
      <c r="B120" s="73" t="s">
        <v>204</v>
      </c>
      <c r="C120" s="74"/>
      <c r="D120" s="75"/>
      <c r="E120" s="77"/>
      <c r="F120" s="78">
        <v>81169</v>
      </c>
      <c r="G120" s="77">
        <v>6939</v>
      </c>
      <c r="H120" s="77">
        <v>13910</v>
      </c>
      <c r="I120" s="77">
        <v>2213</v>
      </c>
      <c r="J120" s="77"/>
      <c r="K120" s="77"/>
      <c r="L120" s="77"/>
      <c r="M120" s="77">
        <v>4000</v>
      </c>
      <c r="N120" s="77"/>
      <c r="O120" s="77">
        <v>4100</v>
      </c>
      <c r="P120" s="75"/>
      <c r="Q120" s="77"/>
      <c r="R120" s="77"/>
      <c r="S120" s="77"/>
      <c r="T120" s="77"/>
      <c r="U120" s="77"/>
      <c r="V120" s="77"/>
      <c r="W120" s="77"/>
      <c r="X120" s="74"/>
      <c r="Y120" s="77"/>
      <c r="Z120" s="77">
        <v>3471</v>
      </c>
      <c r="AA120" s="77"/>
      <c r="AB120" s="77"/>
      <c r="AC120" s="77"/>
      <c r="AD120" s="77"/>
      <c r="AE120" s="77"/>
      <c r="AF120" s="77"/>
      <c r="AG120" s="77">
        <f t="shared" si="15"/>
        <v>0</v>
      </c>
      <c r="AH120" s="76">
        <f t="shared" si="16"/>
        <v>115802</v>
      </c>
    </row>
    <row r="121" spans="1:34" ht="11.25">
      <c r="A121" s="86" t="s">
        <v>172</v>
      </c>
      <c r="B121" s="73">
        <v>39</v>
      </c>
      <c r="C121" s="74"/>
      <c r="D121" s="75"/>
      <c r="E121" s="77">
        <v>500</v>
      </c>
      <c r="F121" s="78">
        <v>124407</v>
      </c>
      <c r="G121" s="77">
        <v>10551</v>
      </c>
      <c r="H121" s="77">
        <v>21613</v>
      </c>
      <c r="I121" s="77">
        <v>3438</v>
      </c>
      <c r="J121" s="77"/>
      <c r="K121" s="77"/>
      <c r="L121" s="77">
        <f>2200+7000</f>
        <v>9200</v>
      </c>
      <c r="M121" s="77"/>
      <c r="N121" s="77"/>
      <c r="O121" s="77"/>
      <c r="P121" s="75"/>
      <c r="Q121" s="77">
        <v>400</v>
      </c>
      <c r="R121" s="77">
        <v>1000</v>
      </c>
      <c r="S121" s="77"/>
      <c r="T121" s="77"/>
      <c r="U121" s="77"/>
      <c r="V121" s="77"/>
      <c r="W121" s="77"/>
      <c r="X121" s="74"/>
      <c r="Y121" s="77"/>
      <c r="Z121" s="77">
        <v>5340</v>
      </c>
      <c r="AA121" s="77"/>
      <c r="AB121" s="77"/>
      <c r="AC121" s="77"/>
      <c r="AD121" s="77"/>
      <c r="AE121" s="77"/>
      <c r="AF121" s="77"/>
      <c r="AG121" s="77">
        <f t="shared" si="15"/>
        <v>11100</v>
      </c>
      <c r="AH121" s="76">
        <f t="shared" si="16"/>
        <v>176449</v>
      </c>
    </row>
    <row r="122" spans="1:34" ht="11.25">
      <c r="A122" s="86" t="s">
        <v>173</v>
      </c>
      <c r="B122" s="73">
        <v>40</v>
      </c>
      <c r="C122" s="74"/>
      <c r="D122" s="75"/>
      <c r="E122" s="77">
        <v>800</v>
      </c>
      <c r="F122" s="78">
        <v>136259</v>
      </c>
      <c r="G122" s="77">
        <v>11359</v>
      </c>
      <c r="H122" s="77">
        <v>22733</v>
      </c>
      <c r="I122" s="77">
        <v>3617</v>
      </c>
      <c r="J122" s="77"/>
      <c r="K122" s="77"/>
      <c r="L122" s="77">
        <v>4500</v>
      </c>
      <c r="M122" s="77">
        <v>4000</v>
      </c>
      <c r="N122" s="77"/>
      <c r="O122" s="77">
        <v>18707</v>
      </c>
      <c r="P122" s="75">
        <v>1720</v>
      </c>
      <c r="Q122" s="77">
        <v>400</v>
      </c>
      <c r="R122" s="77">
        <v>2880</v>
      </c>
      <c r="S122" s="77"/>
      <c r="T122" s="77"/>
      <c r="U122" s="77">
        <v>700</v>
      </c>
      <c r="V122" s="77"/>
      <c r="W122" s="77"/>
      <c r="X122" s="74"/>
      <c r="Y122" s="77"/>
      <c r="Z122" s="77">
        <v>6408</v>
      </c>
      <c r="AA122" s="77"/>
      <c r="AB122" s="77"/>
      <c r="AC122" s="77"/>
      <c r="AD122" s="77"/>
      <c r="AE122" s="77"/>
      <c r="AF122" s="77"/>
      <c r="AG122" s="77">
        <f t="shared" si="15"/>
        <v>11000</v>
      </c>
      <c r="AH122" s="76">
        <f t="shared" si="16"/>
        <v>214083</v>
      </c>
    </row>
    <row r="123" spans="1:34" ht="11.25">
      <c r="A123" s="86" t="s">
        <v>205</v>
      </c>
      <c r="B123" s="73" t="s">
        <v>206</v>
      </c>
      <c r="C123" s="74"/>
      <c r="D123" s="75"/>
      <c r="E123" s="77"/>
      <c r="F123" s="78">
        <v>70652</v>
      </c>
      <c r="G123" s="77">
        <v>5653</v>
      </c>
      <c r="H123" s="77">
        <v>11751</v>
      </c>
      <c r="I123" s="77">
        <v>1869</v>
      </c>
      <c r="J123" s="77"/>
      <c r="K123" s="77"/>
      <c r="L123" s="77"/>
      <c r="M123" s="77"/>
      <c r="N123" s="77"/>
      <c r="O123" s="77">
        <v>3096</v>
      </c>
      <c r="P123" s="75"/>
      <c r="Q123" s="77"/>
      <c r="R123" s="77"/>
      <c r="S123" s="77"/>
      <c r="T123" s="77"/>
      <c r="U123" s="77"/>
      <c r="V123" s="77"/>
      <c r="W123" s="77"/>
      <c r="X123" s="74"/>
      <c r="Y123" s="77"/>
      <c r="Z123" s="77">
        <v>2937</v>
      </c>
      <c r="AA123" s="77"/>
      <c r="AB123" s="77"/>
      <c r="AC123" s="77"/>
      <c r="AD123" s="77"/>
      <c r="AE123" s="77"/>
      <c r="AF123" s="77"/>
      <c r="AG123" s="77">
        <f t="shared" si="15"/>
        <v>0</v>
      </c>
      <c r="AH123" s="76">
        <f t="shared" si="16"/>
        <v>95958</v>
      </c>
    </row>
    <row r="124" spans="1:34" ht="11.25">
      <c r="A124" s="74" t="s">
        <v>174</v>
      </c>
      <c r="B124" s="73">
        <v>42</v>
      </c>
      <c r="C124" s="74"/>
      <c r="D124" s="75"/>
      <c r="E124" s="77"/>
      <c r="F124" s="78">
        <v>106565</v>
      </c>
      <c r="G124" s="77">
        <v>9159</v>
      </c>
      <c r="H124" s="77">
        <v>17821</v>
      </c>
      <c r="I124" s="77">
        <v>2835</v>
      </c>
      <c r="J124" s="77"/>
      <c r="K124" s="77"/>
      <c r="L124" s="77"/>
      <c r="M124" s="77">
        <v>1500</v>
      </c>
      <c r="N124" s="77"/>
      <c r="O124" s="77">
        <v>2882</v>
      </c>
      <c r="P124" s="75"/>
      <c r="Q124" s="77"/>
      <c r="R124" s="77"/>
      <c r="S124" s="77"/>
      <c r="T124" s="77"/>
      <c r="U124" s="77"/>
      <c r="V124" s="77"/>
      <c r="W124" s="77"/>
      <c r="X124" s="74"/>
      <c r="Y124" s="77"/>
      <c r="Z124" s="77">
        <v>4539</v>
      </c>
      <c r="AA124" s="77"/>
      <c r="AB124" s="77"/>
      <c r="AC124" s="77"/>
      <c r="AD124" s="77"/>
      <c r="AE124" s="77"/>
      <c r="AF124" s="77"/>
      <c r="AG124" s="77">
        <f t="shared" si="15"/>
        <v>0</v>
      </c>
      <c r="AH124" s="76">
        <f t="shared" si="16"/>
        <v>145301</v>
      </c>
    </row>
    <row r="125" spans="1:34" ht="11.25">
      <c r="A125" s="74" t="s">
        <v>175</v>
      </c>
      <c r="B125" s="73">
        <v>43</v>
      </c>
      <c r="C125" s="74"/>
      <c r="D125" s="75"/>
      <c r="E125" s="77"/>
      <c r="F125" s="78">
        <v>127528</v>
      </c>
      <c r="G125" s="77">
        <v>10672</v>
      </c>
      <c r="H125" s="77">
        <v>21283</v>
      </c>
      <c r="I125" s="77">
        <v>3386</v>
      </c>
      <c r="J125" s="77"/>
      <c r="K125" s="77"/>
      <c r="L125" s="77"/>
      <c r="M125" s="77">
        <v>2000</v>
      </c>
      <c r="N125" s="77"/>
      <c r="O125" s="77"/>
      <c r="P125" s="75"/>
      <c r="Q125" s="77"/>
      <c r="R125" s="77"/>
      <c r="S125" s="77"/>
      <c r="T125" s="77"/>
      <c r="U125" s="77"/>
      <c r="V125" s="77"/>
      <c r="W125" s="77"/>
      <c r="X125" s="74"/>
      <c r="Y125" s="77"/>
      <c r="Z125" s="77">
        <v>5340</v>
      </c>
      <c r="AA125" s="77"/>
      <c r="AB125" s="77"/>
      <c r="AC125" s="77"/>
      <c r="AD125" s="77"/>
      <c r="AE125" s="77"/>
      <c r="AF125" s="77"/>
      <c r="AG125" s="77">
        <f t="shared" si="15"/>
        <v>0</v>
      </c>
      <c r="AH125" s="76">
        <f t="shared" si="16"/>
        <v>170209</v>
      </c>
    </row>
    <row r="126" spans="1:34" ht="11.25">
      <c r="A126" s="74" t="s">
        <v>176</v>
      </c>
      <c r="B126" s="73">
        <v>44</v>
      </c>
      <c r="C126" s="74"/>
      <c r="D126" s="75"/>
      <c r="E126" s="77"/>
      <c r="F126" s="78">
        <v>92810</v>
      </c>
      <c r="G126" s="77">
        <v>7489</v>
      </c>
      <c r="H126" s="77">
        <v>15837</v>
      </c>
      <c r="I126" s="77">
        <v>2520</v>
      </c>
      <c r="J126" s="77"/>
      <c r="K126" s="77"/>
      <c r="L126" s="77">
        <v>2960</v>
      </c>
      <c r="M126" s="77"/>
      <c r="N126" s="77"/>
      <c r="O126" s="77">
        <v>5646</v>
      </c>
      <c r="P126" s="75">
        <v>2380</v>
      </c>
      <c r="Q126" s="77"/>
      <c r="R126" s="77">
        <v>1210</v>
      </c>
      <c r="S126" s="77"/>
      <c r="T126" s="77"/>
      <c r="U126" s="77"/>
      <c r="V126" s="77"/>
      <c r="W126" s="77"/>
      <c r="X126" s="74"/>
      <c r="Y126" s="77"/>
      <c r="Z126" s="77">
        <v>4272</v>
      </c>
      <c r="AA126" s="77"/>
      <c r="AB126" s="77"/>
      <c r="AC126" s="77"/>
      <c r="AD126" s="77"/>
      <c r="AE126" s="77"/>
      <c r="AF126" s="77"/>
      <c r="AG126" s="77">
        <f t="shared" si="15"/>
        <v>6550</v>
      </c>
      <c r="AH126" s="76">
        <f t="shared" si="16"/>
        <v>135124</v>
      </c>
    </row>
    <row r="127" spans="1:34" ht="11.25">
      <c r="A127" s="74" t="s">
        <v>177</v>
      </c>
      <c r="B127" s="73">
        <v>45</v>
      </c>
      <c r="C127" s="74"/>
      <c r="D127" s="75"/>
      <c r="E127" s="77"/>
      <c r="F127" s="78">
        <v>94012</v>
      </c>
      <c r="G127" s="77">
        <v>8000</v>
      </c>
      <c r="H127" s="77">
        <v>15710</v>
      </c>
      <c r="I127" s="77">
        <v>2499</v>
      </c>
      <c r="J127" s="77"/>
      <c r="K127" s="77"/>
      <c r="L127" s="77">
        <v>3000</v>
      </c>
      <c r="M127" s="77"/>
      <c r="N127" s="77"/>
      <c r="O127" s="77">
        <v>10350</v>
      </c>
      <c r="P127" s="75">
        <v>1000</v>
      </c>
      <c r="Q127" s="77"/>
      <c r="R127" s="77"/>
      <c r="S127" s="77"/>
      <c r="T127" s="77"/>
      <c r="U127" s="77"/>
      <c r="V127" s="77"/>
      <c r="W127" s="77"/>
      <c r="X127" s="74"/>
      <c r="Y127" s="77"/>
      <c r="Z127" s="77">
        <v>4272</v>
      </c>
      <c r="AA127" s="77"/>
      <c r="AB127" s="77"/>
      <c r="AC127" s="77"/>
      <c r="AD127" s="77"/>
      <c r="AE127" s="77"/>
      <c r="AF127" s="77"/>
      <c r="AG127" s="77">
        <f t="shared" si="15"/>
        <v>4000</v>
      </c>
      <c r="AH127" s="76">
        <f t="shared" si="16"/>
        <v>138843</v>
      </c>
    </row>
    <row r="128" spans="1:34" ht="11.25">
      <c r="A128" s="74" t="s">
        <v>178</v>
      </c>
      <c r="B128" s="73">
        <v>46</v>
      </c>
      <c r="C128" s="74"/>
      <c r="D128" s="75"/>
      <c r="E128" s="77"/>
      <c r="F128" s="78">
        <v>190126</v>
      </c>
      <c r="G128" s="77">
        <v>15080</v>
      </c>
      <c r="H128" s="77">
        <v>31602</v>
      </c>
      <c r="I128" s="77">
        <v>5028</v>
      </c>
      <c r="J128" s="77"/>
      <c r="K128" s="77"/>
      <c r="L128" s="77">
        <v>1500</v>
      </c>
      <c r="M128" s="77"/>
      <c r="N128" s="77"/>
      <c r="O128" s="77">
        <v>11275</v>
      </c>
      <c r="P128" s="75">
        <v>1500</v>
      </c>
      <c r="Q128" s="77"/>
      <c r="R128" s="77">
        <v>1000</v>
      </c>
      <c r="S128" s="77"/>
      <c r="T128" s="77"/>
      <c r="U128" s="77"/>
      <c r="V128" s="77"/>
      <c r="W128" s="77"/>
      <c r="X128" s="74"/>
      <c r="Y128" s="77"/>
      <c r="Z128" s="77">
        <v>8544</v>
      </c>
      <c r="AA128" s="77"/>
      <c r="AB128" s="77"/>
      <c r="AC128" s="77"/>
      <c r="AD128" s="77"/>
      <c r="AE128" s="77"/>
      <c r="AF128" s="77"/>
      <c r="AG128" s="77">
        <f t="shared" si="15"/>
        <v>4000</v>
      </c>
      <c r="AH128" s="76">
        <f t="shared" si="16"/>
        <v>265655</v>
      </c>
    </row>
    <row r="129" spans="1:34" ht="11.25">
      <c r="A129" s="74" t="s">
        <v>179</v>
      </c>
      <c r="B129" s="73">
        <v>47</v>
      </c>
      <c r="C129" s="74"/>
      <c r="D129" s="75"/>
      <c r="E129" s="77">
        <v>800</v>
      </c>
      <c r="F129" s="78">
        <v>199164</v>
      </c>
      <c r="G129" s="77">
        <v>15142</v>
      </c>
      <c r="H129" s="77">
        <v>34848</v>
      </c>
      <c r="I129" s="77">
        <v>5544</v>
      </c>
      <c r="J129" s="77"/>
      <c r="K129" s="77"/>
      <c r="L129" s="77">
        <v>2100</v>
      </c>
      <c r="M129" s="77"/>
      <c r="N129" s="77"/>
      <c r="O129" s="77">
        <v>26023</v>
      </c>
      <c r="P129" s="75">
        <v>2800</v>
      </c>
      <c r="Q129" s="77">
        <v>200</v>
      </c>
      <c r="R129" s="77">
        <v>3100</v>
      </c>
      <c r="S129" s="77"/>
      <c r="T129" s="77"/>
      <c r="U129" s="77"/>
      <c r="V129" s="77"/>
      <c r="W129" s="77"/>
      <c r="X129" s="74"/>
      <c r="Y129" s="77"/>
      <c r="Z129" s="77">
        <v>8544</v>
      </c>
      <c r="AA129" s="77"/>
      <c r="AB129" s="77"/>
      <c r="AC129" s="77"/>
      <c r="AD129" s="77"/>
      <c r="AE129" s="77">
        <v>9000</v>
      </c>
      <c r="AF129" s="77"/>
      <c r="AG129" s="77">
        <f t="shared" si="15"/>
        <v>18000</v>
      </c>
      <c r="AH129" s="76">
        <f t="shared" si="16"/>
        <v>307265</v>
      </c>
    </row>
    <row r="130" spans="1:34" ht="11.25">
      <c r="A130" s="74" t="s">
        <v>180</v>
      </c>
      <c r="B130" s="73">
        <v>48</v>
      </c>
      <c r="C130" s="74"/>
      <c r="D130" s="75"/>
      <c r="E130" s="77"/>
      <c r="F130" s="78">
        <v>159680</v>
      </c>
      <c r="G130" s="77">
        <v>10853</v>
      </c>
      <c r="H130" s="77">
        <v>26262</v>
      </c>
      <c r="I130" s="77">
        <v>4178</v>
      </c>
      <c r="J130" s="77"/>
      <c r="K130" s="77"/>
      <c r="L130" s="77"/>
      <c r="M130" s="77">
        <v>1800</v>
      </c>
      <c r="N130" s="77"/>
      <c r="O130" s="77"/>
      <c r="P130" s="75"/>
      <c r="Q130" s="77"/>
      <c r="R130" s="77"/>
      <c r="S130" s="77"/>
      <c r="T130" s="77"/>
      <c r="U130" s="77"/>
      <c r="V130" s="77"/>
      <c r="W130" s="77"/>
      <c r="X130" s="74"/>
      <c r="Y130" s="77"/>
      <c r="Z130" s="77">
        <v>6408</v>
      </c>
      <c r="AA130" s="77"/>
      <c r="AB130" s="77"/>
      <c r="AC130" s="77"/>
      <c r="AD130" s="77"/>
      <c r="AE130" s="77"/>
      <c r="AF130" s="77"/>
      <c r="AG130" s="77">
        <f t="shared" si="15"/>
        <v>0</v>
      </c>
      <c r="AH130" s="76">
        <f t="shared" si="16"/>
        <v>209181</v>
      </c>
    </row>
    <row r="131" spans="1:34" ht="15.75" customHeight="1">
      <c r="A131" s="80" t="s">
        <v>223</v>
      </c>
      <c r="B131" s="80"/>
      <c r="C131" s="76">
        <f>SUM(C95:C130)</f>
        <v>0</v>
      </c>
      <c r="D131" s="81"/>
      <c r="E131" s="76">
        <f aca="true" t="shared" si="17" ref="E131:AG131">SUM(E95:E130)</f>
        <v>10250</v>
      </c>
      <c r="F131" s="82">
        <f t="shared" si="17"/>
        <v>3741560</v>
      </c>
      <c r="G131" s="76">
        <f t="shared" si="17"/>
        <v>305568</v>
      </c>
      <c r="H131" s="76">
        <f t="shared" si="17"/>
        <v>634192</v>
      </c>
      <c r="I131" s="76">
        <f t="shared" si="17"/>
        <v>100893</v>
      </c>
      <c r="J131" s="76">
        <f t="shared" si="17"/>
        <v>600</v>
      </c>
      <c r="K131" s="76">
        <f t="shared" si="17"/>
        <v>0</v>
      </c>
      <c r="L131" s="76">
        <f t="shared" si="17"/>
        <v>68260</v>
      </c>
      <c r="M131" s="76">
        <f t="shared" si="17"/>
        <v>50168</v>
      </c>
      <c r="N131" s="76">
        <f t="shared" si="17"/>
        <v>0</v>
      </c>
      <c r="O131" s="76">
        <f t="shared" si="17"/>
        <v>286961</v>
      </c>
      <c r="P131" s="76">
        <f t="shared" si="17"/>
        <v>22130</v>
      </c>
      <c r="Q131" s="76">
        <f t="shared" si="17"/>
        <v>3030</v>
      </c>
      <c r="R131" s="76">
        <f t="shared" si="17"/>
        <v>35418</v>
      </c>
      <c r="S131" s="76">
        <f t="shared" si="17"/>
        <v>0</v>
      </c>
      <c r="T131" s="76">
        <f t="shared" si="17"/>
        <v>400</v>
      </c>
      <c r="U131" s="76">
        <f t="shared" si="17"/>
        <v>1100</v>
      </c>
      <c r="V131" s="76">
        <f t="shared" si="17"/>
        <v>0</v>
      </c>
      <c r="W131" s="76">
        <f t="shared" si="17"/>
        <v>0</v>
      </c>
      <c r="X131" s="76">
        <f t="shared" si="17"/>
        <v>0</v>
      </c>
      <c r="Y131" s="76">
        <f t="shared" si="17"/>
        <v>0</v>
      </c>
      <c r="Z131" s="76">
        <f t="shared" si="17"/>
        <v>165540</v>
      </c>
      <c r="AA131" s="76">
        <f t="shared" si="17"/>
        <v>0</v>
      </c>
      <c r="AB131" s="76">
        <f t="shared" si="17"/>
        <v>0</v>
      </c>
      <c r="AC131" s="76">
        <f t="shared" si="17"/>
        <v>0</v>
      </c>
      <c r="AD131" s="76">
        <f t="shared" si="17"/>
        <v>500</v>
      </c>
      <c r="AE131" s="76">
        <f t="shared" si="17"/>
        <v>9000</v>
      </c>
      <c r="AF131" s="76">
        <f t="shared" si="17"/>
        <v>0</v>
      </c>
      <c r="AG131" s="76">
        <f t="shared" si="17"/>
        <v>150688</v>
      </c>
      <c r="AH131" s="76">
        <f>SUM(AH95:AH130)</f>
        <v>5435570</v>
      </c>
    </row>
    <row r="132" spans="1:34" ht="11.25">
      <c r="A132" s="74" t="s">
        <v>151</v>
      </c>
      <c r="B132" s="73">
        <v>6</v>
      </c>
      <c r="C132" s="74"/>
      <c r="D132" s="75"/>
      <c r="E132" s="77">
        <v>668</v>
      </c>
      <c r="F132" s="78">
        <v>197018</v>
      </c>
      <c r="G132" s="77">
        <v>14552</v>
      </c>
      <c r="H132" s="77">
        <v>33062</v>
      </c>
      <c r="I132" s="77">
        <v>5260</v>
      </c>
      <c r="J132" s="77"/>
      <c r="K132" s="77"/>
      <c r="L132" s="77">
        <v>1800</v>
      </c>
      <c r="M132" s="77"/>
      <c r="N132" s="77"/>
      <c r="O132" s="77">
        <v>5289</v>
      </c>
      <c r="P132" s="75">
        <v>600</v>
      </c>
      <c r="Q132" s="77"/>
      <c r="R132" s="77">
        <v>600</v>
      </c>
      <c r="S132" s="77"/>
      <c r="T132" s="77"/>
      <c r="U132" s="77"/>
      <c r="V132" s="77"/>
      <c r="W132" s="77"/>
      <c r="X132" s="77"/>
      <c r="Y132" s="77"/>
      <c r="Z132" s="77">
        <v>16731</v>
      </c>
      <c r="AA132" s="77"/>
      <c r="AB132" s="77"/>
      <c r="AC132" s="77"/>
      <c r="AD132" s="77"/>
      <c r="AE132" s="77"/>
      <c r="AF132" s="77"/>
      <c r="AG132" s="77">
        <f aca="true" t="shared" si="18" ref="AG132:AG159">E132+J132+K132+L132+N132+P132+Q132+R132+S132+X132+Y132+T132+U132+V132+AD132+AA132+W132</f>
        <v>3668</v>
      </c>
      <c r="AH132" s="76">
        <f aca="true" t="shared" si="19" ref="AH132:AH159">SUM(E132:AF132)</f>
        <v>275580</v>
      </c>
    </row>
    <row r="133" spans="1:34" ht="11.25">
      <c r="A133" s="86" t="s">
        <v>152</v>
      </c>
      <c r="B133" s="73">
        <v>8</v>
      </c>
      <c r="C133" s="74"/>
      <c r="D133" s="75"/>
      <c r="E133" s="77">
        <v>495</v>
      </c>
      <c r="F133" s="78">
        <v>155310</v>
      </c>
      <c r="G133" s="77">
        <v>9500</v>
      </c>
      <c r="H133" s="77">
        <v>29866</v>
      </c>
      <c r="I133" s="77">
        <v>4751</v>
      </c>
      <c r="J133" s="77"/>
      <c r="K133" s="77"/>
      <c r="L133" s="77"/>
      <c r="M133" s="77"/>
      <c r="N133" s="77"/>
      <c r="O133" s="77">
        <v>14453</v>
      </c>
      <c r="P133" s="75"/>
      <c r="Q133" s="77"/>
      <c r="R133" s="77">
        <v>2000</v>
      </c>
      <c r="S133" s="77"/>
      <c r="T133" s="77"/>
      <c r="U133" s="77"/>
      <c r="V133" s="77"/>
      <c r="W133" s="77"/>
      <c r="X133" s="77"/>
      <c r="Y133" s="77"/>
      <c r="Z133" s="77">
        <v>10296</v>
      </c>
      <c r="AA133" s="77"/>
      <c r="AB133" s="77"/>
      <c r="AC133" s="77"/>
      <c r="AD133" s="77"/>
      <c r="AE133" s="77"/>
      <c r="AF133" s="77"/>
      <c r="AG133" s="77">
        <f t="shared" si="18"/>
        <v>2495</v>
      </c>
      <c r="AH133" s="76">
        <f t="shared" si="19"/>
        <v>226671</v>
      </c>
    </row>
    <row r="134" spans="1:34" ht="11.25">
      <c r="A134" s="86" t="s">
        <v>153</v>
      </c>
      <c r="B134" s="73">
        <v>10</v>
      </c>
      <c r="C134" s="74"/>
      <c r="D134" s="75"/>
      <c r="E134" s="77">
        <v>517</v>
      </c>
      <c r="F134" s="78">
        <v>160252</v>
      </c>
      <c r="G134" s="77">
        <v>13008</v>
      </c>
      <c r="H134" s="77">
        <v>26970</v>
      </c>
      <c r="I134" s="77">
        <v>4291</v>
      </c>
      <c r="J134" s="77"/>
      <c r="K134" s="77"/>
      <c r="L134" s="77">
        <v>3000</v>
      </c>
      <c r="M134" s="77"/>
      <c r="N134" s="77"/>
      <c r="O134" s="77">
        <v>19008</v>
      </c>
      <c r="P134" s="75"/>
      <c r="Q134" s="77"/>
      <c r="R134" s="77"/>
      <c r="S134" s="77"/>
      <c r="T134" s="77"/>
      <c r="U134" s="77"/>
      <c r="V134" s="77"/>
      <c r="W134" s="77"/>
      <c r="X134" s="77"/>
      <c r="Y134" s="77"/>
      <c r="Z134" s="77">
        <v>10296</v>
      </c>
      <c r="AA134" s="77"/>
      <c r="AB134" s="77"/>
      <c r="AC134" s="77"/>
      <c r="AD134" s="77"/>
      <c r="AE134" s="77"/>
      <c r="AF134" s="77"/>
      <c r="AG134" s="77">
        <f t="shared" si="18"/>
        <v>3517</v>
      </c>
      <c r="AH134" s="76">
        <f t="shared" si="19"/>
        <v>237342</v>
      </c>
    </row>
    <row r="135" spans="1:34" ht="11.25">
      <c r="A135" s="86" t="s">
        <v>154</v>
      </c>
      <c r="B135" s="73">
        <v>11</v>
      </c>
      <c r="C135" s="74"/>
      <c r="D135" s="75"/>
      <c r="E135" s="77">
        <v>323</v>
      </c>
      <c r="F135" s="78">
        <v>104904</v>
      </c>
      <c r="G135" s="77">
        <v>7689</v>
      </c>
      <c r="H135" s="77">
        <v>17523</v>
      </c>
      <c r="I135" s="77">
        <v>2788</v>
      </c>
      <c r="J135" s="77"/>
      <c r="K135" s="77"/>
      <c r="L135" s="77"/>
      <c r="M135" s="77"/>
      <c r="N135" s="77"/>
      <c r="O135" s="77"/>
      <c r="P135" s="75"/>
      <c r="Q135" s="77"/>
      <c r="R135" s="77"/>
      <c r="S135" s="77"/>
      <c r="T135" s="77"/>
      <c r="U135" s="77"/>
      <c r="V135" s="77"/>
      <c r="W135" s="77"/>
      <c r="X135" s="74"/>
      <c r="Y135" s="77"/>
      <c r="Z135" s="77">
        <v>7722</v>
      </c>
      <c r="AA135" s="77"/>
      <c r="AB135" s="77"/>
      <c r="AC135" s="77"/>
      <c r="AD135" s="77"/>
      <c r="AE135" s="77"/>
      <c r="AF135" s="77"/>
      <c r="AG135" s="77">
        <f t="shared" si="18"/>
        <v>323</v>
      </c>
      <c r="AH135" s="76">
        <f t="shared" si="19"/>
        <v>140949</v>
      </c>
    </row>
    <row r="136" spans="1:34" ht="11.25">
      <c r="A136" s="86" t="s">
        <v>155</v>
      </c>
      <c r="B136" s="73">
        <v>12</v>
      </c>
      <c r="C136" s="74"/>
      <c r="D136" s="75"/>
      <c r="E136" s="77">
        <v>568</v>
      </c>
      <c r="F136" s="78">
        <v>174781</v>
      </c>
      <c r="G136" s="77">
        <v>15215</v>
      </c>
      <c r="H136" s="77">
        <v>29583</v>
      </c>
      <c r="I136" s="77">
        <v>4706</v>
      </c>
      <c r="J136" s="77"/>
      <c r="K136" s="77"/>
      <c r="L136" s="77"/>
      <c r="M136" s="77"/>
      <c r="N136" s="77">
        <v>500</v>
      </c>
      <c r="O136" s="77">
        <v>14201</v>
      </c>
      <c r="P136" s="75"/>
      <c r="Q136" s="77"/>
      <c r="R136" s="77"/>
      <c r="S136" s="77"/>
      <c r="T136" s="77"/>
      <c r="U136" s="77"/>
      <c r="V136" s="77"/>
      <c r="W136" s="77"/>
      <c r="X136" s="74"/>
      <c r="Y136" s="77"/>
      <c r="Z136" s="77">
        <v>13462</v>
      </c>
      <c r="AA136" s="77"/>
      <c r="AB136" s="77"/>
      <c r="AC136" s="77"/>
      <c r="AD136" s="77"/>
      <c r="AE136" s="77"/>
      <c r="AF136" s="77"/>
      <c r="AG136" s="77">
        <f t="shared" si="18"/>
        <v>1068</v>
      </c>
      <c r="AH136" s="76">
        <f t="shared" si="19"/>
        <v>253016</v>
      </c>
    </row>
    <row r="137" spans="1:34" ht="11.25">
      <c r="A137" s="86" t="s">
        <v>156</v>
      </c>
      <c r="B137" s="73">
        <v>13</v>
      </c>
      <c r="C137" s="74"/>
      <c r="D137" s="75"/>
      <c r="E137" s="77">
        <v>480</v>
      </c>
      <c r="F137" s="78">
        <v>144180</v>
      </c>
      <c r="G137" s="77">
        <v>10953</v>
      </c>
      <c r="H137" s="77">
        <v>24163</v>
      </c>
      <c r="I137" s="77">
        <v>3844</v>
      </c>
      <c r="J137" s="77"/>
      <c r="K137" s="77"/>
      <c r="L137" s="77">
        <v>1200</v>
      </c>
      <c r="M137" s="77"/>
      <c r="N137" s="77">
        <v>600</v>
      </c>
      <c r="O137" s="77">
        <v>5038</v>
      </c>
      <c r="P137" s="75"/>
      <c r="Q137" s="77"/>
      <c r="R137" s="77">
        <v>1200</v>
      </c>
      <c r="S137" s="77"/>
      <c r="T137" s="77"/>
      <c r="U137" s="77"/>
      <c r="V137" s="77"/>
      <c r="W137" s="77"/>
      <c r="X137" s="77"/>
      <c r="Y137" s="77"/>
      <c r="Z137" s="77">
        <v>11583</v>
      </c>
      <c r="AA137" s="77"/>
      <c r="AB137" s="77"/>
      <c r="AC137" s="77"/>
      <c r="AD137" s="77"/>
      <c r="AE137" s="77"/>
      <c r="AF137" s="77"/>
      <c r="AG137" s="77">
        <f t="shared" si="18"/>
        <v>3480</v>
      </c>
      <c r="AH137" s="76">
        <f t="shared" si="19"/>
        <v>203241</v>
      </c>
    </row>
    <row r="138" spans="1:34" ht="11.25">
      <c r="A138" s="86" t="s">
        <v>158</v>
      </c>
      <c r="B138" s="73">
        <v>16</v>
      </c>
      <c r="C138" s="74"/>
      <c r="D138" s="75"/>
      <c r="E138" s="77">
        <v>682</v>
      </c>
      <c r="F138" s="78">
        <v>221538</v>
      </c>
      <c r="G138" s="77">
        <v>15890</v>
      </c>
      <c r="H138" s="77">
        <v>36945</v>
      </c>
      <c r="I138" s="77">
        <v>5878</v>
      </c>
      <c r="J138" s="77"/>
      <c r="K138" s="77"/>
      <c r="L138" s="77">
        <f>1000+2643</f>
        <v>3643</v>
      </c>
      <c r="M138" s="77"/>
      <c r="N138" s="77">
        <v>1000</v>
      </c>
      <c r="O138" s="77">
        <v>3220</v>
      </c>
      <c r="P138" s="75"/>
      <c r="Q138" s="77"/>
      <c r="R138" s="77">
        <v>500</v>
      </c>
      <c r="S138" s="77"/>
      <c r="T138" s="77"/>
      <c r="U138" s="77"/>
      <c r="V138" s="77"/>
      <c r="W138" s="77"/>
      <c r="X138" s="74"/>
      <c r="Y138" s="77"/>
      <c r="Z138" s="77">
        <v>14852</v>
      </c>
      <c r="AA138" s="77"/>
      <c r="AB138" s="77"/>
      <c r="AC138" s="77"/>
      <c r="AD138" s="77"/>
      <c r="AE138" s="77"/>
      <c r="AF138" s="77"/>
      <c r="AG138" s="77">
        <f t="shared" si="18"/>
        <v>5825</v>
      </c>
      <c r="AH138" s="76">
        <f t="shared" si="19"/>
        <v>304148</v>
      </c>
    </row>
    <row r="139" spans="1:34" ht="11.25">
      <c r="A139" s="86" t="s">
        <v>159</v>
      </c>
      <c r="B139" s="73">
        <v>17</v>
      </c>
      <c r="C139" s="74"/>
      <c r="D139" s="75"/>
      <c r="E139" s="77">
        <v>450</v>
      </c>
      <c r="F139" s="78">
        <v>138148</v>
      </c>
      <c r="G139" s="77">
        <v>9690</v>
      </c>
      <c r="H139" s="77">
        <v>23046</v>
      </c>
      <c r="I139" s="77">
        <v>3666</v>
      </c>
      <c r="J139" s="77"/>
      <c r="K139" s="77"/>
      <c r="L139" s="77">
        <v>750</v>
      </c>
      <c r="M139" s="77"/>
      <c r="N139" s="77">
        <v>200</v>
      </c>
      <c r="O139" s="77">
        <v>11110</v>
      </c>
      <c r="P139" s="75"/>
      <c r="Q139" s="77">
        <v>380</v>
      </c>
      <c r="R139" s="77">
        <v>910</v>
      </c>
      <c r="S139" s="77"/>
      <c r="T139" s="77">
        <v>50</v>
      </c>
      <c r="U139" s="77">
        <v>50</v>
      </c>
      <c r="V139" s="77"/>
      <c r="W139" s="77"/>
      <c r="X139" s="74"/>
      <c r="Y139" s="77"/>
      <c r="Z139" s="77">
        <v>10296</v>
      </c>
      <c r="AA139" s="77"/>
      <c r="AB139" s="77"/>
      <c r="AC139" s="77"/>
      <c r="AD139" s="77"/>
      <c r="AE139" s="77"/>
      <c r="AF139" s="77"/>
      <c r="AG139" s="77">
        <f t="shared" si="18"/>
        <v>2790</v>
      </c>
      <c r="AH139" s="76">
        <f t="shared" si="19"/>
        <v>198746</v>
      </c>
    </row>
    <row r="140" spans="1:34" ht="11.25">
      <c r="A140" s="86" t="s">
        <v>160</v>
      </c>
      <c r="B140" s="73">
        <v>18</v>
      </c>
      <c r="C140" s="74"/>
      <c r="D140" s="75"/>
      <c r="E140" s="77">
        <v>961</v>
      </c>
      <c r="F140" s="78">
        <v>303895</v>
      </c>
      <c r="G140" s="77">
        <v>16184</v>
      </c>
      <c r="H140" s="77">
        <v>54163</v>
      </c>
      <c r="I140" s="77">
        <v>8617</v>
      </c>
      <c r="J140" s="77"/>
      <c r="K140" s="77"/>
      <c r="L140" s="77">
        <v>2000</v>
      </c>
      <c r="M140" s="77"/>
      <c r="N140" s="77"/>
      <c r="O140" s="77">
        <v>7000</v>
      </c>
      <c r="P140" s="75"/>
      <c r="Q140" s="77"/>
      <c r="R140" s="77">
        <v>2008</v>
      </c>
      <c r="S140" s="77"/>
      <c r="T140" s="77"/>
      <c r="U140" s="77"/>
      <c r="V140" s="77"/>
      <c r="W140" s="77"/>
      <c r="X140" s="74"/>
      <c r="Y140" s="77"/>
      <c r="Z140" s="77">
        <v>20592</v>
      </c>
      <c r="AA140" s="77"/>
      <c r="AB140" s="77"/>
      <c r="AC140" s="77"/>
      <c r="AD140" s="77"/>
      <c r="AE140" s="77"/>
      <c r="AF140" s="77"/>
      <c r="AG140" s="77">
        <f t="shared" si="18"/>
        <v>4969</v>
      </c>
      <c r="AH140" s="76">
        <f t="shared" si="19"/>
        <v>415420</v>
      </c>
    </row>
    <row r="141" spans="1:34" ht="11.25">
      <c r="A141" s="86" t="s">
        <v>161</v>
      </c>
      <c r="B141" s="73">
        <v>20</v>
      </c>
      <c r="C141" s="74"/>
      <c r="D141" s="75"/>
      <c r="E141" s="77">
        <v>735</v>
      </c>
      <c r="F141" s="78">
        <v>104579</v>
      </c>
      <c r="G141" s="77">
        <v>7200</v>
      </c>
      <c r="H141" s="77">
        <v>17407</v>
      </c>
      <c r="I141" s="77">
        <v>2769</v>
      </c>
      <c r="J141" s="77"/>
      <c r="K141" s="77"/>
      <c r="L141" s="77">
        <v>2000</v>
      </c>
      <c r="M141" s="77"/>
      <c r="N141" s="77"/>
      <c r="O141" s="77">
        <v>1160</v>
      </c>
      <c r="P141" s="75"/>
      <c r="Q141" s="77"/>
      <c r="R141" s="77"/>
      <c r="S141" s="77"/>
      <c r="T141" s="77"/>
      <c r="U141" s="77"/>
      <c r="V141" s="77"/>
      <c r="W141" s="77"/>
      <c r="X141" s="77"/>
      <c r="Y141" s="77"/>
      <c r="Z141" s="77">
        <v>8288</v>
      </c>
      <c r="AA141" s="77"/>
      <c r="AB141" s="77"/>
      <c r="AC141" s="77"/>
      <c r="AD141" s="77"/>
      <c r="AE141" s="77"/>
      <c r="AF141" s="77"/>
      <c r="AG141" s="77">
        <f t="shared" si="18"/>
        <v>2735</v>
      </c>
      <c r="AH141" s="76">
        <f t="shared" si="19"/>
        <v>144138</v>
      </c>
    </row>
    <row r="142" spans="1:34" ht="11.25">
      <c r="A142" s="86" t="s">
        <v>224</v>
      </c>
      <c r="B142" s="73">
        <v>21</v>
      </c>
      <c r="C142" s="74"/>
      <c r="D142" s="75"/>
      <c r="E142" s="77">
        <v>606</v>
      </c>
      <c r="F142" s="78">
        <v>167877</v>
      </c>
      <c r="G142" s="77">
        <v>13407</v>
      </c>
      <c r="H142" s="77">
        <v>28254</v>
      </c>
      <c r="I142" s="77">
        <v>4495</v>
      </c>
      <c r="J142" s="77"/>
      <c r="K142" s="77"/>
      <c r="L142" s="77">
        <v>1200</v>
      </c>
      <c r="M142" s="77"/>
      <c r="N142" s="77">
        <v>700</v>
      </c>
      <c r="O142" s="77"/>
      <c r="P142" s="75"/>
      <c r="Q142" s="77"/>
      <c r="R142" s="77"/>
      <c r="S142" s="74"/>
      <c r="T142" s="74"/>
      <c r="U142" s="74">
        <v>300</v>
      </c>
      <c r="V142" s="74"/>
      <c r="W142" s="74"/>
      <c r="X142" s="74"/>
      <c r="Y142" s="77"/>
      <c r="Z142" s="77">
        <v>15444</v>
      </c>
      <c r="AA142" s="77"/>
      <c r="AB142" s="77"/>
      <c r="AC142" s="77"/>
      <c r="AD142" s="77"/>
      <c r="AE142" s="77"/>
      <c r="AF142" s="77"/>
      <c r="AG142" s="77">
        <f t="shared" si="18"/>
        <v>2806</v>
      </c>
      <c r="AH142" s="76">
        <f t="shared" si="19"/>
        <v>232283</v>
      </c>
    </row>
    <row r="143" spans="1:34" ht="11.25">
      <c r="A143" s="86" t="s">
        <v>163</v>
      </c>
      <c r="B143" s="73">
        <v>23</v>
      </c>
      <c r="C143" s="74"/>
      <c r="D143" s="75"/>
      <c r="E143" s="77">
        <v>450</v>
      </c>
      <c r="F143" s="78">
        <v>144257</v>
      </c>
      <c r="G143" s="77">
        <v>16186</v>
      </c>
      <c r="H143" s="77">
        <v>25076</v>
      </c>
      <c r="I143" s="77">
        <v>3989</v>
      </c>
      <c r="J143" s="77"/>
      <c r="K143" s="77"/>
      <c r="L143" s="77">
        <v>2600</v>
      </c>
      <c r="M143" s="77"/>
      <c r="N143" s="77">
        <v>500</v>
      </c>
      <c r="O143" s="77">
        <v>6605</v>
      </c>
      <c r="P143" s="75"/>
      <c r="Q143" s="77">
        <v>100</v>
      </c>
      <c r="R143" s="77">
        <v>800</v>
      </c>
      <c r="S143" s="77"/>
      <c r="T143" s="77"/>
      <c r="U143" s="77"/>
      <c r="V143" s="77"/>
      <c r="W143" s="77"/>
      <c r="X143" s="74"/>
      <c r="Y143" s="77"/>
      <c r="Z143" s="77">
        <v>10296</v>
      </c>
      <c r="AA143" s="77"/>
      <c r="AB143" s="77"/>
      <c r="AC143" s="77"/>
      <c r="AD143" s="77"/>
      <c r="AE143" s="77"/>
      <c r="AF143" s="77"/>
      <c r="AG143" s="77">
        <f t="shared" si="18"/>
        <v>4450</v>
      </c>
      <c r="AH143" s="76">
        <f t="shared" si="19"/>
        <v>210859</v>
      </c>
    </row>
    <row r="144" spans="1:34" ht="11.25">
      <c r="A144" s="86" t="s">
        <v>164</v>
      </c>
      <c r="B144" s="73">
        <v>26</v>
      </c>
      <c r="C144" s="74"/>
      <c r="D144" s="75"/>
      <c r="E144" s="77">
        <v>525</v>
      </c>
      <c r="F144" s="78">
        <v>153072</v>
      </c>
      <c r="G144" s="77">
        <v>11004</v>
      </c>
      <c r="H144" s="77">
        <v>25559</v>
      </c>
      <c r="I144" s="77">
        <v>4066</v>
      </c>
      <c r="J144" s="77"/>
      <c r="K144" s="77"/>
      <c r="L144" s="77"/>
      <c r="M144" s="77"/>
      <c r="N144" s="77"/>
      <c r="O144" s="77"/>
      <c r="P144" s="75"/>
      <c r="Q144" s="77"/>
      <c r="R144" s="77"/>
      <c r="S144" s="77"/>
      <c r="T144" s="77"/>
      <c r="U144" s="77"/>
      <c r="V144" s="77"/>
      <c r="W144" s="77"/>
      <c r="X144" s="74"/>
      <c r="Y144" s="77"/>
      <c r="Z144" s="77">
        <v>12870</v>
      </c>
      <c r="AA144" s="77"/>
      <c r="AB144" s="77"/>
      <c r="AC144" s="77"/>
      <c r="AD144" s="77"/>
      <c r="AE144" s="77"/>
      <c r="AF144" s="77"/>
      <c r="AG144" s="77">
        <f t="shared" si="18"/>
        <v>525</v>
      </c>
      <c r="AH144" s="76">
        <f t="shared" si="19"/>
        <v>207096</v>
      </c>
    </row>
    <row r="145" spans="1:34" ht="11.25">
      <c r="A145" s="86" t="s">
        <v>165</v>
      </c>
      <c r="B145" s="73">
        <v>28</v>
      </c>
      <c r="C145" s="74"/>
      <c r="D145" s="75"/>
      <c r="E145" s="77">
        <v>381</v>
      </c>
      <c r="F145" s="78">
        <v>121468</v>
      </c>
      <c r="G145" s="77">
        <v>8671</v>
      </c>
      <c r="H145" s="77">
        <v>20364</v>
      </c>
      <c r="I145" s="77">
        <v>3240</v>
      </c>
      <c r="J145" s="77"/>
      <c r="K145" s="77"/>
      <c r="L145" s="77">
        <v>500</v>
      </c>
      <c r="M145" s="77"/>
      <c r="N145" s="77"/>
      <c r="O145" s="77">
        <v>1599</v>
      </c>
      <c r="P145" s="75"/>
      <c r="Q145" s="77"/>
      <c r="R145" s="77">
        <v>500</v>
      </c>
      <c r="S145" s="77"/>
      <c r="T145" s="77"/>
      <c r="U145" s="77"/>
      <c r="V145" s="77"/>
      <c r="W145" s="77"/>
      <c r="X145" s="74"/>
      <c r="Y145" s="77"/>
      <c r="Z145" s="77">
        <v>7722</v>
      </c>
      <c r="AA145" s="77"/>
      <c r="AB145" s="77"/>
      <c r="AC145" s="77"/>
      <c r="AD145" s="77"/>
      <c r="AE145" s="77"/>
      <c r="AF145" s="77"/>
      <c r="AG145" s="77">
        <f t="shared" si="18"/>
        <v>1381</v>
      </c>
      <c r="AH145" s="76">
        <f t="shared" si="19"/>
        <v>164445</v>
      </c>
    </row>
    <row r="146" spans="1:34" ht="11.25">
      <c r="A146" s="86" t="s">
        <v>166</v>
      </c>
      <c r="B146" s="73">
        <v>29</v>
      </c>
      <c r="C146" s="74"/>
      <c r="D146" s="75"/>
      <c r="E146" s="77">
        <v>446</v>
      </c>
      <c r="F146" s="78">
        <v>137531</v>
      </c>
      <c r="G146" s="77">
        <v>9845</v>
      </c>
      <c r="H146" s="77">
        <v>22945</v>
      </c>
      <c r="I146" s="77">
        <v>3650</v>
      </c>
      <c r="J146" s="77"/>
      <c r="K146" s="77"/>
      <c r="L146" s="77">
        <v>1500</v>
      </c>
      <c r="M146" s="77"/>
      <c r="N146" s="77">
        <v>400</v>
      </c>
      <c r="O146" s="77"/>
      <c r="P146" s="75"/>
      <c r="Q146" s="77"/>
      <c r="R146" s="77">
        <v>1000</v>
      </c>
      <c r="S146" s="77"/>
      <c r="T146" s="77"/>
      <c r="U146" s="77"/>
      <c r="V146" s="77"/>
      <c r="W146" s="77"/>
      <c r="X146" s="74"/>
      <c r="Y146" s="77"/>
      <c r="Z146" s="77">
        <v>10296</v>
      </c>
      <c r="AA146" s="77"/>
      <c r="AB146" s="77"/>
      <c r="AC146" s="77"/>
      <c r="AD146" s="77"/>
      <c r="AE146" s="77"/>
      <c r="AF146" s="77"/>
      <c r="AG146" s="77">
        <f t="shared" si="18"/>
        <v>3346</v>
      </c>
      <c r="AH146" s="76">
        <f t="shared" si="19"/>
        <v>187613</v>
      </c>
    </row>
    <row r="147" spans="1:34" ht="11.25">
      <c r="A147" s="86" t="s">
        <v>167</v>
      </c>
      <c r="B147" s="73">
        <v>31</v>
      </c>
      <c r="C147" s="74"/>
      <c r="D147" s="75"/>
      <c r="E147" s="77">
        <v>437</v>
      </c>
      <c r="F147" s="78">
        <v>134634</v>
      </c>
      <c r="G147" s="77">
        <v>11008</v>
      </c>
      <c r="H147" s="77">
        <v>22752</v>
      </c>
      <c r="I147" s="77">
        <v>3620</v>
      </c>
      <c r="J147" s="77"/>
      <c r="K147" s="77"/>
      <c r="L147" s="77">
        <v>4000</v>
      </c>
      <c r="M147" s="77"/>
      <c r="N147" s="77">
        <v>1000</v>
      </c>
      <c r="O147" s="77">
        <v>18200</v>
      </c>
      <c r="P147" s="75"/>
      <c r="Q147" s="77"/>
      <c r="R147" s="77">
        <v>3000</v>
      </c>
      <c r="S147" s="77"/>
      <c r="T147" s="77"/>
      <c r="U147" s="77"/>
      <c r="V147" s="77"/>
      <c r="W147" s="77"/>
      <c r="X147" s="74"/>
      <c r="Y147" s="77"/>
      <c r="Z147" s="77">
        <v>10296</v>
      </c>
      <c r="AA147" s="77"/>
      <c r="AB147" s="77"/>
      <c r="AC147" s="77"/>
      <c r="AD147" s="77"/>
      <c r="AE147" s="77"/>
      <c r="AF147" s="77"/>
      <c r="AG147" s="77">
        <f t="shared" si="18"/>
        <v>8437</v>
      </c>
      <c r="AH147" s="76">
        <f t="shared" si="19"/>
        <v>208947</v>
      </c>
    </row>
    <row r="148" spans="1:34" ht="11.25">
      <c r="A148" s="86" t="s">
        <v>168</v>
      </c>
      <c r="B148" s="73">
        <v>33</v>
      </c>
      <c r="C148" s="74"/>
      <c r="D148" s="75"/>
      <c r="E148" s="77">
        <v>557</v>
      </c>
      <c r="F148" s="78">
        <v>174973</v>
      </c>
      <c r="G148" s="77">
        <v>11847</v>
      </c>
      <c r="H148" s="77">
        <v>32097</v>
      </c>
      <c r="I148" s="77">
        <v>5106</v>
      </c>
      <c r="J148" s="77"/>
      <c r="K148" s="77"/>
      <c r="L148" s="77"/>
      <c r="M148" s="77"/>
      <c r="N148" s="77">
        <v>1500</v>
      </c>
      <c r="O148" s="77"/>
      <c r="P148" s="75"/>
      <c r="Q148" s="77">
        <v>1000</v>
      </c>
      <c r="R148" s="77"/>
      <c r="S148" s="77"/>
      <c r="T148" s="77"/>
      <c r="U148" s="77"/>
      <c r="V148" s="77"/>
      <c r="W148" s="77"/>
      <c r="X148" s="74"/>
      <c r="Y148" s="77"/>
      <c r="Z148" s="77">
        <v>12870</v>
      </c>
      <c r="AA148" s="77"/>
      <c r="AB148" s="77"/>
      <c r="AC148" s="77"/>
      <c r="AD148" s="77"/>
      <c r="AE148" s="77"/>
      <c r="AF148" s="77"/>
      <c r="AG148" s="77">
        <f t="shared" si="18"/>
        <v>3057</v>
      </c>
      <c r="AH148" s="76">
        <f t="shared" si="19"/>
        <v>239950</v>
      </c>
    </row>
    <row r="149" spans="1:34" ht="11.25">
      <c r="A149" s="86" t="s">
        <v>169</v>
      </c>
      <c r="B149" s="73">
        <v>34</v>
      </c>
      <c r="C149" s="74"/>
      <c r="D149" s="75"/>
      <c r="E149" s="77">
        <v>562</v>
      </c>
      <c r="F149" s="78">
        <v>169042</v>
      </c>
      <c r="G149" s="77">
        <v>13436</v>
      </c>
      <c r="H149" s="77">
        <v>29433</v>
      </c>
      <c r="I149" s="77">
        <v>4683</v>
      </c>
      <c r="J149" s="77"/>
      <c r="K149" s="77"/>
      <c r="L149" s="77">
        <v>500</v>
      </c>
      <c r="M149" s="77"/>
      <c r="N149" s="77"/>
      <c r="O149" s="77">
        <v>8493</v>
      </c>
      <c r="P149" s="75"/>
      <c r="Q149" s="77"/>
      <c r="R149" s="77"/>
      <c r="S149" s="77"/>
      <c r="T149" s="77"/>
      <c r="U149" s="77"/>
      <c r="V149" s="77"/>
      <c r="W149" s="77"/>
      <c r="X149" s="74"/>
      <c r="Y149" s="77"/>
      <c r="Z149" s="77">
        <v>12870</v>
      </c>
      <c r="AA149" s="77"/>
      <c r="AB149" s="77"/>
      <c r="AC149" s="77"/>
      <c r="AD149" s="77"/>
      <c r="AE149" s="77"/>
      <c r="AF149" s="77"/>
      <c r="AG149" s="77">
        <f t="shared" si="18"/>
        <v>1062</v>
      </c>
      <c r="AH149" s="76">
        <f t="shared" si="19"/>
        <v>239019</v>
      </c>
    </row>
    <row r="150" spans="1:34" ht="11.25">
      <c r="A150" s="86" t="s">
        <v>170</v>
      </c>
      <c r="B150" s="73">
        <v>35</v>
      </c>
      <c r="C150" s="74"/>
      <c r="D150" s="75"/>
      <c r="E150" s="77">
        <v>425</v>
      </c>
      <c r="F150" s="78">
        <v>136010</v>
      </c>
      <c r="G150" s="77">
        <v>9487</v>
      </c>
      <c r="H150" s="77">
        <v>22924</v>
      </c>
      <c r="I150" s="77">
        <v>3647</v>
      </c>
      <c r="J150" s="77"/>
      <c r="K150" s="77"/>
      <c r="L150" s="77"/>
      <c r="M150" s="77"/>
      <c r="N150" s="77"/>
      <c r="O150" s="77"/>
      <c r="P150" s="75"/>
      <c r="Q150" s="77"/>
      <c r="R150" s="77"/>
      <c r="S150" s="77"/>
      <c r="T150" s="77"/>
      <c r="U150" s="77"/>
      <c r="V150" s="77"/>
      <c r="W150" s="77"/>
      <c r="X150" s="74"/>
      <c r="Y150" s="77"/>
      <c r="Z150" s="77">
        <v>10296</v>
      </c>
      <c r="AA150" s="77"/>
      <c r="AB150" s="77"/>
      <c r="AC150" s="77"/>
      <c r="AD150" s="77"/>
      <c r="AE150" s="77"/>
      <c r="AF150" s="77"/>
      <c r="AG150" s="77">
        <f t="shared" si="18"/>
        <v>425</v>
      </c>
      <c r="AH150" s="76">
        <f t="shared" si="19"/>
        <v>182789</v>
      </c>
    </row>
    <row r="151" spans="1:34" ht="11.25">
      <c r="A151" s="86" t="s">
        <v>172</v>
      </c>
      <c r="B151" s="73">
        <v>39</v>
      </c>
      <c r="C151" s="74"/>
      <c r="D151" s="75"/>
      <c r="E151" s="77">
        <v>752</v>
      </c>
      <c r="F151" s="78">
        <v>232082</v>
      </c>
      <c r="G151" s="77">
        <v>17987</v>
      </c>
      <c r="H151" s="77">
        <v>42452</v>
      </c>
      <c r="I151" s="77">
        <v>6754</v>
      </c>
      <c r="J151" s="77"/>
      <c r="K151" s="77"/>
      <c r="L151" s="77"/>
      <c r="M151" s="77"/>
      <c r="N151" s="77"/>
      <c r="O151" s="77"/>
      <c r="P151" s="75"/>
      <c r="Q151" s="77">
        <v>500</v>
      </c>
      <c r="R151" s="74">
        <v>500</v>
      </c>
      <c r="S151" s="74"/>
      <c r="T151" s="74"/>
      <c r="U151" s="74"/>
      <c r="V151" s="74"/>
      <c r="W151" s="74"/>
      <c r="X151" s="74"/>
      <c r="Y151" s="77"/>
      <c r="Z151" s="77">
        <v>18842</v>
      </c>
      <c r="AA151" s="77"/>
      <c r="AB151" s="77"/>
      <c r="AC151" s="77"/>
      <c r="AD151" s="77"/>
      <c r="AE151" s="77"/>
      <c r="AF151" s="77"/>
      <c r="AG151" s="77">
        <f t="shared" si="18"/>
        <v>1752</v>
      </c>
      <c r="AH151" s="76">
        <f t="shared" si="19"/>
        <v>319869</v>
      </c>
    </row>
    <row r="152" spans="1:34" ht="11.25">
      <c r="A152" s="86" t="s">
        <v>225</v>
      </c>
      <c r="B152" s="73">
        <v>40</v>
      </c>
      <c r="C152" s="74"/>
      <c r="D152" s="75"/>
      <c r="E152" s="77">
        <v>877</v>
      </c>
      <c r="F152" s="78">
        <v>218993</v>
      </c>
      <c r="G152" s="77">
        <v>17098</v>
      </c>
      <c r="H152" s="77">
        <v>39987</v>
      </c>
      <c r="I152" s="77">
        <v>6362</v>
      </c>
      <c r="J152" s="77"/>
      <c r="K152" s="77"/>
      <c r="L152" s="77"/>
      <c r="M152" s="77"/>
      <c r="N152" s="77"/>
      <c r="O152" s="77">
        <v>9801</v>
      </c>
      <c r="P152" s="75"/>
      <c r="Q152" s="77">
        <v>280</v>
      </c>
      <c r="R152" s="77">
        <v>80</v>
      </c>
      <c r="S152" s="77"/>
      <c r="T152" s="77"/>
      <c r="U152" s="77">
        <v>250</v>
      </c>
      <c r="V152" s="77"/>
      <c r="W152" s="77"/>
      <c r="X152" s="74"/>
      <c r="Y152" s="77"/>
      <c r="Z152" s="77">
        <v>18018</v>
      </c>
      <c r="AA152" s="77"/>
      <c r="AB152" s="77"/>
      <c r="AC152" s="77"/>
      <c r="AD152" s="77"/>
      <c r="AE152" s="77"/>
      <c r="AF152" s="77"/>
      <c r="AG152" s="77">
        <f t="shared" si="18"/>
        <v>1487</v>
      </c>
      <c r="AH152" s="76">
        <f t="shared" si="19"/>
        <v>311746</v>
      </c>
    </row>
    <row r="153" spans="1:34" ht="11.25">
      <c r="A153" s="74" t="s">
        <v>226</v>
      </c>
      <c r="B153" s="73">
        <v>42</v>
      </c>
      <c r="C153" s="74"/>
      <c r="D153" s="75"/>
      <c r="E153" s="77">
        <v>551</v>
      </c>
      <c r="F153" s="78">
        <v>175994</v>
      </c>
      <c r="G153" s="77">
        <v>10603</v>
      </c>
      <c r="H153" s="77">
        <v>33277</v>
      </c>
      <c r="I153" s="77">
        <v>5294</v>
      </c>
      <c r="J153" s="77"/>
      <c r="K153" s="77"/>
      <c r="L153" s="77"/>
      <c r="M153" s="77"/>
      <c r="N153" s="77"/>
      <c r="O153" s="77">
        <v>2255</v>
      </c>
      <c r="P153" s="75"/>
      <c r="Q153" s="77"/>
      <c r="R153" s="77"/>
      <c r="S153" s="77"/>
      <c r="T153" s="77"/>
      <c r="U153" s="77"/>
      <c r="V153" s="77"/>
      <c r="W153" s="77"/>
      <c r="X153" s="74"/>
      <c r="Y153" s="77"/>
      <c r="Z153" s="77">
        <v>12870</v>
      </c>
      <c r="AA153" s="77"/>
      <c r="AB153" s="77"/>
      <c r="AC153" s="77"/>
      <c r="AD153" s="77"/>
      <c r="AE153" s="77"/>
      <c r="AF153" s="77"/>
      <c r="AG153" s="77">
        <f t="shared" si="18"/>
        <v>551</v>
      </c>
      <c r="AH153" s="76">
        <f t="shared" si="19"/>
        <v>240844</v>
      </c>
    </row>
    <row r="154" spans="1:34" ht="11.25">
      <c r="A154" s="74" t="s">
        <v>227</v>
      </c>
      <c r="B154" s="73">
        <v>43</v>
      </c>
      <c r="C154" s="74"/>
      <c r="D154" s="75"/>
      <c r="E154" s="77">
        <v>580</v>
      </c>
      <c r="F154" s="78">
        <v>171555</v>
      </c>
      <c r="G154" s="77">
        <v>13259</v>
      </c>
      <c r="H154" s="77">
        <v>28863</v>
      </c>
      <c r="I154" s="77">
        <v>4592</v>
      </c>
      <c r="J154" s="77"/>
      <c r="K154" s="77"/>
      <c r="L154" s="77"/>
      <c r="M154" s="77"/>
      <c r="N154" s="77"/>
      <c r="O154" s="77"/>
      <c r="P154" s="75"/>
      <c r="Q154" s="77"/>
      <c r="R154" s="77"/>
      <c r="S154" s="77"/>
      <c r="T154" s="77"/>
      <c r="U154" s="77"/>
      <c r="V154" s="77"/>
      <c r="W154" s="77"/>
      <c r="X154" s="74"/>
      <c r="Y154" s="77"/>
      <c r="Z154" s="77">
        <v>13848</v>
      </c>
      <c r="AA154" s="77"/>
      <c r="AB154" s="77"/>
      <c r="AC154" s="77"/>
      <c r="AD154" s="77"/>
      <c r="AE154" s="77"/>
      <c r="AF154" s="77"/>
      <c r="AG154" s="77">
        <f t="shared" si="18"/>
        <v>580</v>
      </c>
      <c r="AH154" s="76">
        <f t="shared" si="19"/>
        <v>232697</v>
      </c>
    </row>
    <row r="155" spans="1:34" ht="11.25">
      <c r="A155" s="74" t="s">
        <v>228</v>
      </c>
      <c r="B155" s="73">
        <v>44</v>
      </c>
      <c r="C155" s="74"/>
      <c r="D155" s="75"/>
      <c r="E155" s="77">
        <v>333</v>
      </c>
      <c r="F155" s="78">
        <v>100103</v>
      </c>
      <c r="G155" s="77">
        <v>8218</v>
      </c>
      <c r="H155" s="77">
        <v>16906</v>
      </c>
      <c r="I155" s="77">
        <v>2690</v>
      </c>
      <c r="J155" s="77"/>
      <c r="K155" s="77"/>
      <c r="L155" s="77"/>
      <c r="M155" s="77"/>
      <c r="N155" s="77"/>
      <c r="O155" s="77">
        <v>2258</v>
      </c>
      <c r="P155" s="75"/>
      <c r="Q155" s="77"/>
      <c r="R155" s="77"/>
      <c r="S155" s="77"/>
      <c r="T155" s="77"/>
      <c r="U155" s="77"/>
      <c r="V155" s="77"/>
      <c r="W155" s="77"/>
      <c r="X155" s="74"/>
      <c r="Y155" s="77"/>
      <c r="Z155" s="77">
        <v>7722</v>
      </c>
      <c r="AA155" s="77"/>
      <c r="AB155" s="77"/>
      <c r="AC155" s="77"/>
      <c r="AD155" s="77"/>
      <c r="AE155" s="77"/>
      <c r="AF155" s="77"/>
      <c r="AG155" s="77">
        <f t="shared" si="18"/>
        <v>333</v>
      </c>
      <c r="AH155" s="76">
        <f t="shared" si="19"/>
        <v>138230</v>
      </c>
    </row>
    <row r="156" spans="1:34" ht="11.25">
      <c r="A156" s="74" t="s">
        <v>229</v>
      </c>
      <c r="B156" s="73">
        <v>45</v>
      </c>
      <c r="C156" s="74"/>
      <c r="D156" s="75"/>
      <c r="E156" s="77">
        <v>823</v>
      </c>
      <c r="F156" s="78">
        <v>256402</v>
      </c>
      <c r="G156" s="77">
        <v>18947</v>
      </c>
      <c r="H156" s="77">
        <v>46030</v>
      </c>
      <c r="I156" s="77">
        <v>7323</v>
      </c>
      <c r="J156" s="77"/>
      <c r="K156" s="77"/>
      <c r="L156" s="77"/>
      <c r="M156" s="77"/>
      <c r="N156" s="77">
        <v>1500</v>
      </c>
      <c r="O156" s="77">
        <v>10350</v>
      </c>
      <c r="P156" s="75"/>
      <c r="Q156" s="77"/>
      <c r="R156" s="77"/>
      <c r="S156" s="74"/>
      <c r="T156" s="74"/>
      <c r="U156" s="74"/>
      <c r="V156" s="74"/>
      <c r="W156" s="74"/>
      <c r="X156" s="74"/>
      <c r="Y156" s="77"/>
      <c r="Z156" s="77">
        <v>18018</v>
      </c>
      <c r="AA156" s="77"/>
      <c r="AB156" s="77"/>
      <c r="AC156" s="77"/>
      <c r="AD156" s="77"/>
      <c r="AE156" s="77"/>
      <c r="AF156" s="77"/>
      <c r="AG156" s="77">
        <f t="shared" si="18"/>
        <v>2323</v>
      </c>
      <c r="AH156" s="76">
        <f t="shared" si="19"/>
        <v>359393</v>
      </c>
    </row>
    <row r="157" spans="1:34" ht="11.25">
      <c r="A157" s="74" t="s">
        <v>230</v>
      </c>
      <c r="B157" s="73">
        <v>46</v>
      </c>
      <c r="C157" s="74"/>
      <c r="D157" s="75"/>
      <c r="E157" s="77">
        <v>882</v>
      </c>
      <c r="F157" s="78">
        <v>272106</v>
      </c>
      <c r="G157" s="77">
        <v>16890</v>
      </c>
      <c r="H157" s="77">
        <v>45103</v>
      </c>
      <c r="I157" s="77">
        <v>7176</v>
      </c>
      <c r="J157" s="77"/>
      <c r="K157" s="77"/>
      <c r="L157" s="77"/>
      <c r="M157" s="77"/>
      <c r="N157" s="77"/>
      <c r="O157" s="77"/>
      <c r="P157" s="75"/>
      <c r="Q157" s="77"/>
      <c r="R157" s="77"/>
      <c r="S157" s="74"/>
      <c r="T157" s="74"/>
      <c r="U157" s="74"/>
      <c r="V157" s="74"/>
      <c r="W157" s="74"/>
      <c r="X157" s="74"/>
      <c r="Y157" s="77"/>
      <c r="Z157" s="77">
        <v>20592</v>
      </c>
      <c r="AA157" s="77"/>
      <c r="AB157" s="77"/>
      <c r="AC157" s="77"/>
      <c r="AD157" s="77"/>
      <c r="AE157" s="77"/>
      <c r="AF157" s="77"/>
      <c r="AG157" s="77">
        <f t="shared" si="18"/>
        <v>882</v>
      </c>
      <c r="AH157" s="76">
        <f t="shared" si="19"/>
        <v>362749</v>
      </c>
    </row>
    <row r="158" spans="1:34" ht="11.25">
      <c r="A158" s="74" t="s">
        <v>231</v>
      </c>
      <c r="B158" s="73">
        <v>47</v>
      </c>
      <c r="C158" s="74"/>
      <c r="D158" s="75"/>
      <c r="E158" s="77">
        <v>1141</v>
      </c>
      <c r="F158" s="78">
        <v>345275</v>
      </c>
      <c r="G158" s="77">
        <v>21408</v>
      </c>
      <c r="H158" s="77">
        <v>60360</v>
      </c>
      <c r="I158" s="77">
        <v>9603</v>
      </c>
      <c r="J158" s="77"/>
      <c r="K158" s="77"/>
      <c r="L158" s="77"/>
      <c r="M158" s="77"/>
      <c r="N158" s="77"/>
      <c r="O158" s="77">
        <v>11160</v>
      </c>
      <c r="P158" s="75"/>
      <c r="Q158" s="77"/>
      <c r="R158" s="77"/>
      <c r="S158" s="77"/>
      <c r="T158" s="77"/>
      <c r="U158" s="77"/>
      <c r="V158" s="77"/>
      <c r="W158" s="77"/>
      <c r="X158" s="74"/>
      <c r="Y158" s="77"/>
      <c r="Z158" s="77">
        <v>27130</v>
      </c>
      <c r="AA158" s="77"/>
      <c r="AB158" s="77"/>
      <c r="AC158" s="77"/>
      <c r="AD158" s="77"/>
      <c r="AE158" s="77"/>
      <c r="AF158" s="77"/>
      <c r="AG158" s="77">
        <f t="shared" si="18"/>
        <v>1141</v>
      </c>
      <c r="AH158" s="76">
        <f t="shared" si="19"/>
        <v>476077</v>
      </c>
    </row>
    <row r="159" spans="1:34" ht="11.25">
      <c r="A159" s="74" t="s">
        <v>232</v>
      </c>
      <c r="B159" s="73">
        <v>48</v>
      </c>
      <c r="C159" s="74"/>
      <c r="D159" s="75"/>
      <c r="E159" s="77">
        <v>484</v>
      </c>
      <c r="F159" s="78">
        <v>145925</v>
      </c>
      <c r="G159" s="77">
        <v>9835</v>
      </c>
      <c r="H159" s="77">
        <v>24285</v>
      </c>
      <c r="I159" s="77">
        <v>3863</v>
      </c>
      <c r="J159" s="77"/>
      <c r="K159" s="77"/>
      <c r="L159" s="77"/>
      <c r="M159" s="77"/>
      <c r="N159" s="77"/>
      <c r="O159" s="77">
        <v>1890</v>
      </c>
      <c r="P159" s="75"/>
      <c r="Q159" s="77"/>
      <c r="R159" s="77"/>
      <c r="S159" s="77"/>
      <c r="T159" s="77"/>
      <c r="U159" s="77"/>
      <c r="V159" s="77"/>
      <c r="W159" s="77"/>
      <c r="X159" s="77"/>
      <c r="Y159" s="77"/>
      <c r="Z159" s="77">
        <v>11583</v>
      </c>
      <c r="AA159" s="77"/>
      <c r="AB159" s="77"/>
      <c r="AC159" s="77"/>
      <c r="AD159" s="77"/>
      <c r="AE159" s="77"/>
      <c r="AF159" s="77"/>
      <c r="AG159" s="77">
        <f t="shared" si="18"/>
        <v>484</v>
      </c>
      <c r="AH159" s="76">
        <f t="shared" si="19"/>
        <v>197865</v>
      </c>
    </row>
    <row r="160" spans="1:34" ht="11.25">
      <c r="A160" s="80" t="s">
        <v>233</v>
      </c>
      <c r="B160" s="80"/>
      <c r="C160" s="76">
        <f>SUM(C132:C159)</f>
        <v>0</v>
      </c>
      <c r="D160" s="81"/>
      <c r="E160" s="76">
        <f aca="true" t="shared" si="20" ref="E160:AG160">SUM(E132:E159)</f>
        <v>16691</v>
      </c>
      <c r="F160" s="82">
        <f t="shared" si="20"/>
        <v>4961904</v>
      </c>
      <c r="G160" s="76">
        <f t="shared" si="20"/>
        <v>359017</v>
      </c>
      <c r="H160" s="76">
        <f t="shared" si="20"/>
        <v>859395</v>
      </c>
      <c r="I160" s="76">
        <f t="shared" si="20"/>
        <v>136723</v>
      </c>
      <c r="J160" s="76">
        <f t="shared" si="20"/>
        <v>0</v>
      </c>
      <c r="K160" s="76">
        <f t="shared" si="20"/>
        <v>0</v>
      </c>
      <c r="L160" s="76">
        <f t="shared" si="20"/>
        <v>24693</v>
      </c>
      <c r="M160" s="76">
        <f t="shared" si="20"/>
        <v>0</v>
      </c>
      <c r="N160" s="76">
        <f t="shared" si="20"/>
        <v>7900</v>
      </c>
      <c r="O160" s="76">
        <f t="shared" si="20"/>
        <v>153090</v>
      </c>
      <c r="P160" s="76">
        <f t="shared" si="20"/>
        <v>600</v>
      </c>
      <c r="Q160" s="76">
        <f t="shared" si="20"/>
        <v>2260</v>
      </c>
      <c r="R160" s="76">
        <f t="shared" si="20"/>
        <v>13098</v>
      </c>
      <c r="S160" s="76">
        <f t="shared" si="20"/>
        <v>0</v>
      </c>
      <c r="T160" s="76">
        <f t="shared" si="20"/>
        <v>50</v>
      </c>
      <c r="U160" s="76">
        <f t="shared" si="20"/>
        <v>600</v>
      </c>
      <c r="V160" s="76">
        <f t="shared" si="20"/>
        <v>0</v>
      </c>
      <c r="W160" s="76">
        <f t="shared" si="20"/>
        <v>0</v>
      </c>
      <c r="X160" s="76">
        <f t="shared" si="20"/>
        <v>0</v>
      </c>
      <c r="Y160" s="76">
        <f t="shared" si="20"/>
        <v>0</v>
      </c>
      <c r="Z160" s="76">
        <f t="shared" si="20"/>
        <v>375701</v>
      </c>
      <c r="AA160" s="76">
        <f t="shared" si="20"/>
        <v>0</v>
      </c>
      <c r="AB160" s="76">
        <f t="shared" si="20"/>
        <v>0</v>
      </c>
      <c r="AC160" s="76">
        <f t="shared" si="20"/>
        <v>0</v>
      </c>
      <c r="AD160" s="76">
        <f t="shared" si="20"/>
        <v>0</v>
      </c>
      <c r="AE160" s="76">
        <f t="shared" si="20"/>
        <v>0</v>
      </c>
      <c r="AF160" s="76">
        <f t="shared" si="20"/>
        <v>0</v>
      </c>
      <c r="AG160" s="76">
        <f t="shared" si="20"/>
        <v>65892</v>
      </c>
      <c r="AH160" s="76">
        <f>SUM(AH132:AH159)</f>
        <v>6911722</v>
      </c>
    </row>
    <row r="161" spans="1:34" ht="11.25">
      <c r="A161" s="86" t="s">
        <v>153</v>
      </c>
      <c r="B161" s="73">
        <v>10</v>
      </c>
      <c r="C161" s="76"/>
      <c r="D161" s="81"/>
      <c r="E161" s="76"/>
      <c r="F161" s="82"/>
      <c r="G161" s="76"/>
      <c r="H161" s="76"/>
      <c r="I161" s="76"/>
      <c r="J161" s="76"/>
      <c r="K161" s="76"/>
      <c r="L161" s="77"/>
      <c r="M161" s="76"/>
      <c r="N161" s="76"/>
      <c r="O161" s="76"/>
      <c r="P161" s="76"/>
      <c r="Q161" s="76"/>
      <c r="R161" s="77">
        <v>5000</v>
      </c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>
        <f aca="true" t="shared" si="21" ref="AH161:AH168">SUM(E161:AF161)</f>
        <v>5000</v>
      </c>
    </row>
    <row r="162" spans="1:34" ht="11.25">
      <c r="A162" s="74" t="s">
        <v>155</v>
      </c>
      <c r="B162" s="73">
        <v>12</v>
      </c>
      <c r="C162" s="76"/>
      <c r="D162" s="81"/>
      <c r="E162" s="76"/>
      <c r="F162" s="82"/>
      <c r="G162" s="76"/>
      <c r="H162" s="76"/>
      <c r="I162" s="76"/>
      <c r="J162" s="76"/>
      <c r="K162" s="76"/>
      <c r="L162" s="77"/>
      <c r="M162" s="76"/>
      <c r="N162" s="76"/>
      <c r="O162" s="76"/>
      <c r="P162" s="76"/>
      <c r="Q162" s="76"/>
      <c r="R162" s="77">
        <v>2500</v>
      </c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102">
        <f t="shared" si="21"/>
        <v>2500</v>
      </c>
    </row>
    <row r="163" spans="1:34" ht="11.25">
      <c r="A163" s="74" t="s">
        <v>161</v>
      </c>
      <c r="B163" s="73">
        <v>20</v>
      </c>
      <c r="C163" s="76"/>
      <c r="D163" s="81"/>
      <c r="E163" s="76"/>
      <c r="F163" s="82"/>
      <c r="G163" s="76"/>
      <c r="H163" s="76"/>
      <c r="I163" s="76"/>
      <c r="J163" s="76"/>
      <c r="K163" s="76"/>
      <c r="L163" s="77"/>
      <c r="M163" s="76"/>
      <c r="N163" s="76"/>
      <c r="O163" s="76"/>
      <c r="P163" s="76"/>
      <c r="Q163" s="76"/>
      <c r="R163" s="77">
        <v>4400</v>
      </c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102">
        <f t="shared" si="21"/>
        <v>4400</v>
      </c>
    </row>
    <row r="164" spans="1:34" ht="11.25">
      <c r="A164" s="74" t="s">
        <v>162</v>
      </c>
      <c r="B164" s="73">
        <v>21</v>
      </c>
      <c r="C164" s="76"/>
      <c r="D164" s="81"/>
      <c r="E164" s="76"/>
      <c r="F164" s="82"/>
      <c r="G164" s="76"/>
      <c r="H164" s="76"/>
      <c r="I164" s="76"/>
      <c r="J164" s="76"/>
      <c r="K164" s="76"/>
      <c r="L164" s="77">
        <v>2000</v>
      </c>
      <c r="M164" s="76"/>
      <c r="N164" s="76"/>
      <c r="O164" s="76"/>
      <c r="P164" s="76"/>
      <c r="Q164" s="76"/>
      <c r="R164" s="77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102">
        <f t="shared" si="21"/>
        <v>2000</v>
      </c>
    </row>
    <row r="165" spans="1:34" ht="11.25">
      <c r="A165" s="74" t="s">
        <v>174</v>
      </c>
      <c r="B165" s="73">
        <v>42</v>
      </c>
      <c r="C165" s="76"/>
      <c r="D165" s="81"/>
      <c r="E165" s="76"/>
      <c r="F165" s="82"/>
      <c r="G165" s="76"/>
      <c r="H165" s="76"/>
      <c r="I165" s="76"/>
      <c r="J165" s="76"/>
      <c r="K165" s="76"/>
      <c r="L165" s="77"/>
      <c r="M165" s="76"/>
      <c r="N165" s="76"/>
      <c r="O165" s="76"/>
      <c r="P165" s="76"/>
      <c r="Q165" s="76"/>
      <c r="R165" s="77">
        <v>2200</v>
      </c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102">
        <f t="shared" si="21"/>
        <v>2200</v>
      </c>
    </row>
    <row r="166" spans="1:34" ht="11.25">
      <c r="A166" s="74" t="s">
        <v>175</v>
      </c>
      <c r="B166" s="73">
        <v>43</v>
      </c>
      <c r="C166" s="76"/>
      <c r="D166" s="81"/>
      <c r="E166" s="76"/>
      <c r="F166" s="82"/>
      <c r="G166" s="76"/>
      <c r="H166" s="76"/>
      <c r="I166" s="76"/>
      <c r="J166" s="76"/>
      <c r="K166" s="76"/>
      <c r="L166" s="77"/>
      <c r="M166" s="77">
        <v>2000</v>
      </c>
      <c r="N166" s="76"/>
      <c r="O166" s="76"/>
      <c r="P166" s="76"/>
      <c r="Q166" s="76"/>
      <c r="R166" s="77">
        <v>2000</v>
      </c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102">
        <f t="shared" si="21"/>
        <v>4000</v>
      </c>
    </row>
    <row r="167" spans="1:34" ht="11.25">
      <c r="A167" s="74" t="s">
        <v>178</v>
      </c>
      <c r="B167" s="73">
        <v>46</v>
      </c>
      <c r="C167" s="76"/>
      <c r="D167" s="81"/>
      <c r="E167" s="76"/>
      <c r="F167" s="82"/>
      <c r="G167" s="76"/>
      <c r="H167" s="76"/>
      <c r="I167" s="76"/>
      <c r="J167" s="76"/>
      <c r="K167" s="76"/>
      <c r="L167" s="77"/>
      <c r="M167" s="76"/>
      <c r="N167" s="76"/>
      <c r="O167" s="76"/>
      <c r="P167" s="76"/>
      <c r="Q167" s="76"/>
      <c r="R167" s="77">
        <v>2200</v>
      </c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102">
        <f t="shared" si="21"/>
        <v>2200</v>
      </c>
    </row>
    <row r="168" spans="1:34" ht="11.25">
      <c r="A168" s="74" t="s">
        <v>179</v>
      </c>
      <c r="B168" s="73">
        <v>47</v>
      </c>
      <c r="C168" s="76"/>
      <c r="D168" s="81"/>
      <c r="E168" s="76"/>
      <c r="F168" s="82"/>
      <c r="G168" s="76"/>
      <c r="H168" s="76"/>
      <c r="I168" s="76"/>
      <c r="J168" s="76"/>
      <c r="K168" s="76"/>
      <c r="L168" s="77">
        <v>3000</v>
      </c>
      <c r="M168" s="76"/>
      <c r="N168" s="76"/>
      <c r="O168" s="76"/>
      <c r="P168" s="76"/>
      <c r="Q168" s="76"/>
      <c r="R168" s="77">
        <v>7000</v>
      </c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102">
        <f t="shared" si="21"/>
        <v>10000</v>
      </c>
    </row>
    <row r="169" spans="1:34" ht="11.25">
      <c r="A169" s="80" t="s">
        <v>234</v>
      </c>
      <c r="B169" s="80"/>
      <c r="C169" s="76"/>
      <c r="D169" s="81"/>
      <c r="E169" s="76">
        <f aca="true" t="shared" si="22" ref="E169:AF169">SUM(E161:E168)</f>
        <v>0</v>
      </c>
      <c r="F169" s="82">
        <f t="shared" si="22"/>
        <v>0</v>
      </c>
      <c r="G169" s="76">
        <f t="shared" si="22"/>
        <v>0</v>
      </c>
      <c r="H169" s="76">
        <f t="shared" si="22"/>
        <v>0</v>
      </c>
      <c r="I169" s="76">
        <f t="shared" si="22"/>
        <v>0</v>
      </c>
      <c r="J169" s="76">
        <f t="shared" si="22"/>
        <v>0</v>
      </c>
      <c r="K169" s="76">
        <f t="shared" si="22"/>
        <v>0</v>
      </c>
      <c r="L169" s="76">
        <f t="shared" si="22"/>
        <v>5000</v>
      </c>
      <c r="M169" s="76">
        <f t="shared" si="22"/>
        <v>2000</v>
      </c>
      <c r="N169" s="76">
        <f t="shared" si="22"/>
        <v>0</v>
      </c>
      <c r="O169" s="76">
        <f t="shared" si="22"/>
        <v>0</v>
      </c>
      <c r="P169" s="76">
        <f t="shared" si="22"/>
        <v>0</v>
      </c>
      <c r="Q169" s="76">
        <f t="shared" si="22"/>
        <v>0</v>
      </c>
      <c r="R169" s="76">
        <f t="shared" si="22"/>
        <v>25300</v>
      </c>
      <c r="S169" s="76">
        <f t="shared" si="22"/>
        <v>0</v>
      </c>
      <c r="T169" s="76">
        <f t="shared" si="22"/>
        <v>0</v>
      </c>
      <c r="U169" s="76">
        <f t="shared" si="22"/>
        <v>0</v>
      </c>
      <c r="V169" s="76">
        <f t="shared" si="22"/>
        <v>0</v>
      </c>
      <c r="W169" s="76">
        <f t="shared" si="22"/>
        <v>0</v>
      </c>
      <c r="X169" s="76">
        <f t="shared" si="22"/>
        <v>0</v>
      </c>
      <c r="Y169" s="76">
        <f t="shared" si="22"/>
        <v>0</v>
      </c>
      <c r="Z169" s="76">
        <f t="shared" si="22"/>
        <v>0</v>
      </c>
      <c r="AA169" s="76">
        <f t="shared" si="22"/>
        <v>0</v>
      </c>
      <c r="AB169" s="76">
        <f t="shared" si="22"/>
        <v>0</v>
      </c>
      <c r="AC169" s="76">
        <f t="shared" si="22"/>
        <v>0</v>
      </c>
      <c r="AD169" s="76">
        <f t="shared" si="22"/>
        <v>0</v>
      </c>
      <c r="AE169" s="76">
        <f t="shared" si="22"/>
        <v>0</v>
      </c>
      <c r="AF169" s="76">
        <f t="shared" si="22"/>
        <v>0</v>
      </c>
      <c r="AG169" s="76"/>
      <c r="AH169" s="76">
        <f>SUM(AH161:AH168)</f>
        <v>32300</v>
      </c>
    </row>
    <row r="170" spans="1:34" ht="11.25">
      <c r="A170" s="79" t="s">
        <v>190</v>
      </c>
      <c r="B170" s="73" t="s">
        <v>191</v>
      </c>
      <c r="C170" s="74"/>
      <c r="D170" s="75"/>
      <c r="E170" s="77">
        <v>2212</v>
      </c>
      <c r="F170" s="78">
        <f>435236-10000</f>
        <v>425236</v>
      </c>
      <c r="G170" s="77">
        <v>37649</v>
      </c>
      <c r="H170" s="77">
        <v>72824</v>
      </c>
      <c r="I170" s="77">
        <v>11586</v>
      </c>
      <c r="J170" s="77"/>
      <c r="K170" s="77">
        <v>10000</v>
      </c>
      <c r="L170" s="77">
        <f>53900+2500</f>
        <v>56400</v>
      </c>
      <c r="M170" s="77"/>
      <c r="N170" s="77"/>
      <c r="O170" s="77">
        <v>307500</v>
      </c>
      <c r="P170" s="75">
        <v>4140</v>
      </c>
      <c r="Q170" s="77">
        <v>500</v>
      </c>
      <c r="R170" s="77">
        <v>53810</v>
      </c>
      <c r="S170" s="77">
        <v>588</v>
      </c>
      <c r="T170" s="77"/>
      <c r="U170" s="77">
        <v>1800</v>
      </c>
      <c r="V170" s="77"/>
      <c r="W170" s="77"/>
      <c r="X170" s="77">
        <v>100</v>
      </c>
      <c r="Y170" s="77">
        <v>1000</v>
      </c>
      <c r="Z170" s="77">
        <v>15753</v>
      </c>
      <c r="AA170" s="77"/>
      <c r="AB170" s="77">
        <v>32860</v>
      </c>
      <c r="AC170" s="77">
        <v>3000</v>
      </c>
      <c r="AD170" s="77">
        <v>1700</v>
      </c>
      <c r="AE170" s="77"/>
      <c r="AF170" s="77"/>
      <c r="AG170" s="77">
        <f>E170+J170+K170+L170+N170+P170+Q170+R170+S170+X170+Y170+T170+U170+V170+AD170+AA170+W170+AB170+AC170</f>
        <v>168110</v>
      </c>
      <c r="AH170" s="76">
        <f aca="true" t="shared" si="23" ref="AH170:AH194">SUM(E170:AF170)</f>
        <v>1038658</v>
      </c>
    </row>
    <row r="171" spans="1:34" ht="11.25">
      <c r="A171" s="79" t="s">
        <v>193</v>
      </c>
      <c r="B171" s="73" t="s">
        <v>193</v>
      </c>
      <c r="C171" s="74"/>
      <c r="D171" s="75"/>
      <c r="E171" s="77"/>
      <c r="F171" s="78"/>
      <c r="G171" s="77"/>
      <c r="H171" s="77"/>
      <c r="I171" s="77"/>
      <c r="J171" s="77"/>
      <c r="K171" s="77">
        <v>1000</v>
      </c>
      <c r="L171" s="77"/>
      <c r="M171" s="77"/>
      <c r="N171" s="77"/>
      <c r="O171" s="77"/>
      <c r="P171" s="75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6">
        <f t="shared" si="23"/>
        <v>1000</v>
      </c>
    </row>
    <row r="172" spans="1:34" ht="11.25">
      <c r="A172" s="79" t="s">
        <v>152</v>
      </c>
      <c r="B172" s="73">
        <v>8</v>
      </c>
      <c r="C172" s="74"/>
      <c r="D172" s="75"/>
      <c r="E172" s="77"/>
      <c r="F172" s="78"/>
      <c r="G172" s="77"/>
      <c r="H172" s="77"/>
      <c r="I172" s="77"/>
      <c r="J172" s="77"/>
      <c r="K172" s="77"/>
      <c r="L172" s="77">
        <v>4000</v>
      </c>
      <c r="M172" s="77"/>
      <c r="N172" s="77"/>
      <c r="O172" s="77"/>
      <c r="P172" s="75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6">
        <f t="shared" si="23"/>
        <v>4000</v>
      </c>
    </row>
    <row r="173" spans="1:34" ht="11.25">
      <c r="A173" s="79" t="s">
        <v>153</v>
      </c>
      <c r="B173" s="73">
        <v>10</v>
      </c>
      <c r="C173" s="74"/>
      <c r="D173" s="75"/>
      <c r="E173" s="77"/>
      <c r="F173" s="78"/>
      <c r="G173" s="77"/>
      <c r="H173" s="77"/>
      <c r="I173" s="77"/>
      <c r="J173" s="77"/>
      <c r="K173" s="77">
        <v>21000</v>
      </c>
      <c r="L173" s="77">
        <v>15600</v>
      </c>
      <c r="M173" s="77"/>
      <c r="N173" s="77"/>
      <c r="O173" s="77"/>
      <c r="P173" s="75"/>
      <c r="Q173" s="77"/>
      <c r="R173" s="77">
        <v>3000</v>
      </c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6">
        <f t="shared" si="23"/>
        <v>39600</v>
      </c>
    </row>
    <row r="174" spans="1:34" ht="11.25">
      <c r="A174" s="79" t="s">
        <v>154</v>
      </c>
      <c r="B174" s="73">
        <v>11</v>
      </c>
      <c r="C174" s="74"/>
      <c r="D174" s="75"/>
      <c r="E174" s="77"/>
      <c r="F174" s="78"/>
      <c r="G174" s="77"/>
      <c r="H174" s="77"/>
      <c r="I174" s="77"/>
      <c r="J174" s="77"/>
      <c r="K174" s="77"/>
      <c r="L174" s="77">
        <v>4000</v>
      </c>
      <c r="M174" s="77"/>
      <c r="N174" s="77"/>
      <c r="O174" s="77"/>
      <c r="P174" s="75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6">
        <f t="shared" si="23"/>
        <v>4000</v>
      </c>
    </row>
    <row r="175" spans="1:34" ht="11.25">
      <c r="A175" s="72" t="s">
        <v>235</v>
      </c>
      <c r="B175" s="73">
        <v>12</v>
      </c>
      <c r="C175" s="74"/>
      <c r="D175" s="75"/>
      <c r="E175" s="77">
        <v>3000</v>
      </c>
      <c r="F175" s="78">
        <f>494566-20000</f>
        <v>474566</v>
      </c>
      <c r="G175" s="77">
        <v>49402</v>
      </c>
      <c r="H175" s="77">
        <f>85003+1291+655</f>
        <v>86949</v>
      </c>
      <c r="I175" s="77">
        <f>13523+209+105</f>
        <v>13837</v>
      </c>
      <c r="J175" s="77"/>
      <c r="K175" s="77">
        <f>4000+8500+4240</f>
        <v>16740</v>
      </c>
      <c r="L175" s="77">
        <v>59744</v>
      </c>
      <c r="M175" s="77"/>
      <c r="N175" s="77">
        <v>5000</v>
      </c>
      <c r="O175" s="77">
        <v>294841</v>
      </c>
      <c r="P175" s="75">
        <v>9320</v>
      </c>
      <c r="Q175" s="77">
        <v>1500</v>
      </c>
      <c r="R175" s="77">
        <v>66463</v>
      </c>
      <c r="S175" s="77">
        <v>1236</v>
      </c>
      <c r="T175" s="77"/>
      <c r="U175" s="77">
        <v>3300</v>
      </c>
      <c r="V175" s="77"/>
      <c r="W175" s="77"/>
      <c r="X175" s="77">
        <v>500</v>
      </c>
      <c r="Y175" s="77">
        <v>3400</v>
      </c>
      <c r="Z175" s="77">
        <v>17622</v>
      </c>
      <c r="AA175" s="77">
        <v>1000</v>
      </c>
      <c r="AB175" s="77"/>
      <c r="AC175" s="77"/>
      <c r="AD175" s="77">
        <v>1000</v>
      </c>
      <c r="AE175" s="77"/>
      <c r="AF175" s="77"/>
      <c r="AG175" s="77">
        <f>E175+J175+K175+L175+N175+P175+Q175+R175+S175+X175+Y175+T175+U175+V175+AD175+AA175+W175+AB175+AC175</f>
        <v>172203</v>
      </c>
      <c r="AH175" s="76">
        <f t="shared" si="23"/>
        <v>1109420</v>
      </c>
    </row>
    <row r="176" spans="1:34" ht="11.25">
      <c r="A176" s="72" t="s">
        <v>236</v>
      </c>
      <c r="B176" s="73">
        <v>16</v>
      </c>
      <c r="C176" s="74"/>
      <c r="D176" s="75"/>
      <c r="E176" s="77"/>
      <c r="F176" s="78"/>
      <c r="G176" s="77"/>
      <c r="H176" s="77"/>
      <c r="I176" s="77"/>
      <c r="J176" s="77"/>
      <c r="K176" s="77"/>
      <c r="L176" s="77">
        <v>4000</v>
      </c>
      <c r="M176" s="77"/>
      <c r="N176" s="77"/>
      <c r="O176" s="77"/>
      <c r="P176" s="75"/>
      <c r="Q176" s="77"/>
      <c r="R176" s="77">
        <v>8000</v>
      </c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6">
        <f t="shared" si="23"/>
        <v>12000</v>
      </c>
    </row>
    <row r="177" spans="1:34" ht="11.25">
      <c r="A177" s="72" t="s">
        <v>198</v>
      </c>
      <c r="B177" s="73" t="s">
        <v>199</v>
      </c>
      <c r="C177" s="74"/>
      <c r="D177" s="75"/>
      <c r="E177" s="77"/>
      <c r="F177" s="78"/>
      <c r="G177" s="77"/>
      <c r="H177" s="77">
        <v>1550</v>
      </c>
      <c r="I177" s="77">
        <v>250</v>
      </c>
      <c r="J177" s="77"/>
      <c r="K177" s="77">
        <v>10200</v>
      </c>
      <c r="L177" s="77">
        <f>5700+7000</f>
        <v>12700</v>
      </c>
      <c r="M177" s="77"/>
      <c r="N177" s="77"/>
      <c r="O177" s="77"/>
      <c r="P177" s="75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6">
        <f t="shared" si="23"/>
        <v>24700</v>
      </c>
    </row>
    <row r="178" spans="1:34" ht="11.25">
      <c r="A178" s="72" t="s">
        <v>162</v>
      </c>
      <c r="B178" s="73">
        <v>21</v>
      </c>
      <c r="C178" s="74"/>
      <c r="D178" s="75"/>
      <c r="E178" s="77"/>
      <c r="F178" s="78"/>
      <c r="G178" s="77"/>
      <c r="H178" s="77"/>
      <c r="I178" s="77"/>
      <c r="J178" s="77"/>
      <c r="K178" s="77">
        <v>2000</v>
      </c>
      <c r="L178" s="77">
        <v>9700</v>
      </c>
      <c r="M178" s="77"/>
      <c r="N178" s="77"/>
      <c r="O178" s="77"/>
      <c r="P178" s="75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6">
        <f t="shared" si="23"/>
        <v>11700</v>
      </c>
    </row>
    <row r="179" spans="1:34" ht="11.25">
      <c r="A179" s="72" t="s">
        <v>163</v>
      </c>
      <c r="B179" s="73">
        <v>23</v>
      </c>
      <c r="C179" s="74"/>
      <c r="D179" s="75"/>
      <c r="E179" s="77"/>
      <c r="F179" s="78"/>
      <c r="G179" s="77"/>
      <c r="H179" s="77"/>
      <c r="I179" s="77"/>
      <c r="J179" s="77"/>
      <c r="K179" s="77"/>
      <c r="L179" s="77">
        <v>11800</v>
      </c>
      <c r="M179" s="77"/>
      <c r="N179" s="77"/>
      <c r="O179" s="77"/>
      <c r="P179" s="75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6">
        <f t="shared" si="23"/>
        <v>11800</v>
      </c>
    </row>
    <row r="180" spans="1:34" ht="11.25">
      <c r="A180" s="72" t="s">
        <v>201</v>
      </c>
      <c r="B180" s="73" t="s">
        <v>201</v>
      </c>
      <c r="C180" s="74"/>
      <c r="D180" s="75"/>
      <c r="E180" s="77"/>
      <c r="F180" s="78"/>
      <c r="G180" s="77"/>
      <c r="H180" s="77"/>
      <c r="I180" s="77"/>
      <c r="J180" s="77"/>
      <c r="K180" s="77"/>
      <c r="L180" s="77"/>
      <c r="M180" s="77"/>
      <c r="N180" s="77"/>
      <c r="O180" s="77"/>
      <c r="P180" s="75"/>
      <c r="Q180" s="77"/>
      <c r="R180" s="77">
        <v>2500</v>
      </c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6">
        <f t="shared" si="23"/>
        <v>2500</v>
      </c>
    </row>
    <row r="181" spans="1:34" ht="11.25">
      <c r="A181" s="72" t="s">
        <v>165</v>
      </c>
      <c r="B181" s="73">
        <v>28</v>
      </c>
      <c r="C181" s="74"/>
      <c r="D181" s="75"/>
      <c r="E181" s="77"/>
      <c r="F181" s="78"/>
      <c r="G181" s="77"/>
      <c r="H181" s="77"/>
      <c r="I181" s="77"/>
      <c r="J181" s="77"/>
      <c r="K181" s="77"/>
      <c r="L181" s="77">
        <v>2000</v>
      </c>
      <c r="M181" s="77"/>
      <c r="N181" s="77"/>
      <c r="O181" s="77"/>
      <c r="P181" s="75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6">
        <f t="shared" si="23"/>
        <v>2000</v>
      </c>
    </row>
    <row r="182" spans="1:34" ht="11.25">
      <c r="A182" s="72" t="s">
        <v>166</v>
      </c>
      <c r="B182" s="73">
        <v>29</v>
      </c>
      <c r="C182" s="74"/>
      <c r="D182" s="75"/>
      <c r="E182" s="77"/>
      <c r="F182" s="78"/>
      <c r="G182" s="77"/>
      <c r="H182" s="77">
        <v>5892</v>
      </c>
      <c r="I182" s="77">
        <v>937</v>
      </c>
      <c r="J182" s="77"/>
      <c r="K182" s="77">
        <v>38260</v>
      </c>
      <c r="L182" s="77">
        <v>15000</v>
      </c>
      <c r="M182" s="77"/>
      <c r="N182" s="77"/>
      <c r="O182" s="77">
        <v>32430</v>
      </c>
      <c r="P182" s="75"/>
      <c r="Q182" s="77"/>
      <c r="R182" s="77">
        <v>2800</v>
      </c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>
        <f>E182+J182+K182+L182+N182+P182+Q182+R182+S182+X182+Y182+T182+U182+V182+AD182+AA182+W182+AB182+AC182</f>
        <v>56060</v>
      </c>
      <c r="AH182" s="76">
        <f t="shared" si="23"/>
        <v>95319</v>
      </c>
    </row>
    <row r="183" spans="1:34" ht="11.25">
      <c r="A183" s="72" t="s">
        <v>167</v>
      </c>
      <c r="B183" s="73"/>
      <c r="C183" s="74"/>
      <c r="D183" s="75"/>
      <c r="E183" s="77"/>
      <c r="F183" s="78"/>
      <c r="G183" s="77"/>
      <c r="H183" s="77"/>
      <c r="I183" s="77"/>
      <c r="J183" s="77"/>
      <c r="K183" s="77"/>
      <c r="L183" s="77"/>
      <c r="M183" s="77"/>
      <c r="N183" s="77">
        <v>1000</v>
      </c>
      <c r="O183" s="77"/>
      <c r="P183" s="75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6">
        <f t="shared" si="23"/>
        <v>1000</v>
      </c>
    </row>
    <row r="184" spans="1:34" ht="11.25">
      <c r="A184" s="72" t="s">
        <v>168</v>
      </c>
      <c r="B184" s="73">
        <v>33</v>
      </c>
      <c r="C184" s="74"/>
      <c r="D184" s="75"/>
      <c r="E184" s="77"/>
      <c r="F184" s="78"/>
      <c r="G184" s="77"/>
      <c r="H184" s="77"/>
      <c r="I184" s="77"/>
      <c r="J184" s="77"/>
      <c r="K184" s="77">
        <v>1500</v>
      </c>
      <c r="L184" s="77">
        <v>500</v>
      </c>
      <c r="M184" s="77"/>
      <c r="N184" s="77"/>
      <c r="O184" s="77"/>
      <c r="P184" s="75"/>
      <c r="Q184" s="77"/>
      <c r="R184" s="77">
        <v>1000</v>
      </c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6">
        <f t="shared" si="23"/>
        <v>3000</v>
      </c>
    </row>
    <row r="185" spans="1:34" ht="11.25">
      <c r="A185" s="72" t="s">
        <v>169</v>
      </c>
      <c r="B185" s="73">
        <v>34</v>
      </c>
      <c r="C185" s="74"/>
      <c r="D185" s="75"/>
      <c r="E185" s="77"/>
      <c r="F185" s="78"/>
      <c r="G185" s="77"/>
      <c r="H185" s="77"/>
      <c r="I185" s="77"/>
      <c r="J185" s="77"/>
      <c r="K185" s="77"/>
      <c r="L185" s="77">
        <v>500</v>
      </c>
      <c r="M185" s="77"/>
      <c r="N185" s="77"/>
      <c r="O185" s="77"/>
      <c r="P185" s="75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6">
        <f t="shared" si="23"/>
        <v>500</v>
      </c>
    </row>
    <row r="186" spans="1:34" ht="11.25">
      <c r="A186" s="72" t="s">
        <v>170</v>
      </c>
      <c r="B186" s="73">
        <v>35</v>
      </c>
      <c r="C186" s="74"/>
      <c r="D186" s="75"/>
      <c r="E186" s="77"/>
      <c r="F186" s="78"/>
      <c r="G186" s="77"/>
      <c r="H186" s="77"/>
      <c r="I186" s="77"/>
      <c r="J186" s="77"/>
      <c r="K186" s="77"/>
      <c r="L186" s="77"/>
      <c r="M186" s="77"/>
      <c r="N186" s="77"/>
      <c r="O186" s="77"/>
      <c r="P186" s="75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>
        <v>10000</v>
      </c>
      <c r="AF186" s="77"/>
      <c r="AG186" s="77"/>
      <c r="AH186" s="76">
        <f t="shared" si="23"/>
        <v>10000</v>
      </c>
    </row>
    <row r="187" spans="1:34" ht="11.25">
      <c r="A187" s="72" t="s">
        <v>171</v>
      </c>
      <c r="B187" s="73">
        <v>37</v>
      </c>
      <c r="C187" s="74"/>
      <c r="D187" s="75"/>
      <c r="E187" s="77"/>
      <c r="F187" s="78"/>
      <c r="G187" s="77"/>
      <c r="H187" s="77"/>
      <c r="I187" s="77"/>
      <c r="J187" s="77"/>
      <c r="K187" s="77"/>
      <c r="L187" s="77">
        <v>5000</v>
      </c>
      <c r="M187" s="77"/>
      <c r="N187" s="77"/>
      <c r="O187" s="77"/>
      <c r="P187" s="75"/>
      <c r="Q187" s="77"/>
      <c r="R187" s="77">
        <v>2000</v>
      </c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6">
        <f t="shared" si="23"/>
        <v>7000</v>
      </c>
    </row>
    <row r="188" spans="1:34" ht="11.25">
      <c r="A188" s="72" t="s">
        <v>172</v>
      </c>
      <c r="B188" s="73">
        <v>39</v>
      </c>
      <c r="C188" s="74"/>
      <c r="D188" s="75"/>
      <c r="E188" s="77">
        <v>500</v>
      </c>
      <c r="F188" s="78">
        <v>299415</v>
      </c>
      <c r="G188" s="77">
        <v>3442</v>
      </c>
      <c r="H188" s="77">
        <v>47256</v>
      </c>
      <c r="I188" s="77">
        <v>7518</v>
      </c>
      <c r="J188" s="77"/>
      <c r="K188" s="77"/>
      <c r="L188" s="77">
        <v>18000</v>
      </c>
      <c r="M188" s="77"/>
      <c r="N188" s="77"/>
      <c r="O188" s="77">
        <v>214000</v>
      </c>
      <c r="P188" s="75">
        <v>19000</v>
      </c>
      <c r="Q188" s="77">
        <v>500</v>
      </c>
      <c r="R188" s="77">
        <v>32674</v>
      </c>
      <c r="S188" s="77"/>
      <c r="T188" s="77"/>
      <c r="U188" s="77"/>
      <c r="V188" s="77"/>
      <c r="W188" s="77"/>
      <c r="X188" s="77"/>
      <c r="Y188" s="77"/>
      <c r="Z188" s="77">
        <v>11748</v>
      </c>
      <c r="AA188" s="77"/>
      <c r="AB188" s="77"/>
      <c r="AC188" s="77"/>
      <c r="AD188" s="77"/>
      <c r="AE188" s="77"/>
      <c r="AF188" s="77"/>
      <c r="AG188" s="77">
        <f>E188+J188+K188+L188+N188+P188+Q188+R188+S188+X188+Y188+T188+U188+V188+AD188+AA188+W188+AB188+AC188</f>
        <v>70674</v>
      </c>
      <c r="AH188" s="76">
        <f t="shared" si="23"/>
        <v>654053</v>
      </c>
    </row>
    <row r="189" spans="1:34" ht="11.25">
      <c r="A189" s="72" t="s">
        <v>173</v>
      </c>
      <c r="B189" s="73">
        <v>40</v>
      </c>
      <c r="C189" s="74"/>
      <c r="D189" s="75"/>
      <c r="E189" s="77"/>
      <c r="F189" s="78"/>
      <c r="G189" s="77"/>
      <c r="H189" s="77"/>
      <c r="I189" s="77"/>
      <c r="J189" s="77"/>
      <c r="K189" s="77"/>
      <c r="L189" s="77">
        <v>3000</v>
      </c>
      <c r="M189" s="77"/>
      <c r="N189" s="77"/>
      <c r="O189" s="77"/>
      <c r="P189" s="75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6">
        <f t="shared" si="23"/>
        <v>3000</v>
      </c>
    </row>
    <row r="190" spans="1:34" ht="11.25">
      <c r="A190" s="72" t="s">
        <v>174</v>
      </c>
      <c r="B190" s="73">
        <v>42</v>
      </c>
      <c r="C190" s="74"/>
      <c r="D190" s="75"/>
      <c r="E190" s="77">
        <v>5000</v>
      </c>
      <c r="F190" s="78">
        <f>585912-20000</f>
        <v>565912</v>
      </c>
      <c r="G190" s="77">
        <v>54043</v>
      </c>
      <c r="H190" s="77">
        <v>101618</v>
      </c>
      <c r="I190" s="77">
        <v>16166</v>
      </c>
      <c r="J190" s="77"/>
      <c r="K190" s="77">
        <f>20000+450</f>
        <v>20450</v>
      </c>
      <c r="L190" s="77">
        <f>48800+8050</f>
        <v>56850</v>
      </c>
      <c r="M190" s="77"/>
      <c r="N190" s="77"/>
      <c r="O190" s="77">
        <v>380264</v>
      </c>
      <c r="P190" s="75">
        <v>17000</v>
      </c>
      <c r="Q190" s="77">
        <v>1500</v>
      </c>
      <c r="R190" s="77">
        <f>57913+1000</f>
        <v>58913</v>
      </c>
      <c r="S190" s="77">
        <v>1800</v>
      </c>
      <c r="T190" s="77"/>
      <c r="U190" s="77">
        <v>4000</v>
      </c>
      <c r="V190" s="77">
        <v>4000</v>
      </c>
      <c r="W190" s="77"/>
      <c r="X190" s="74"/>
      <c r="Y190" s="77">
        <v>800</v>
      </c>
      <c r="Z190" s="77">
        <v>18957</v>
      </c>
      <c r="AA190" s="77"/>
      <c r="AB190" s="77"/>
      <c r="AC190" s="77"/>
      <c r="AD190" s="77">
        <v>2600</v>
      </c>
      <c r="AE190" s="77"/>
      <c r="AF190" s="77"/>
      <c r="AG190" s="77">
        <f>E190+J190+K190+L190+N190+P190+Q190+R190+S190+X190+Y190+T190+U190+V190+AD190+AA190+W190+AB190+AC190</f>
        <v>172913</v>
      </c>
      <c r="AH190" s="76">
        <f t="shared" si="23"/>
        <v>1309873</v>
      </c>
    </row>
    <row r="191" spans="1:34" ht="11.25">
      <c r="A191" s="72" t="s">
        <v>175</v>
      </c>
      <c r="B191" s="73">
        <v>43</v>
      </c>
      <c r="C191" s="74"/>
      <c r="D191" s="75"/>
      <c r="E191" s="77"/>
      <c r="F191" s="78"/>
      <c r="G191" s="77"/>
      <c r="H191" s="77"/>
      <c r="I191" s="77"/>
      <c r="J191" s="77"/>
      <c r="K191" s="77"/>
      <c r="L191" s="77">
        <v>8500</v>
      </c>
      <c r="M191" s="77"/>
      <c r="N191" s="77"/>
      <c r="O191" s="77"/>
      <c r="P191" s="75"/>
      <c r="Q191" s="77"/>
      <c r="R191" s="77">
        <v>4000</v>
      </c>
      <c r="S191" s="77"/>
      <c r="T191" s="77"/>
      <c r="U191" s="77"/>
      <c r="V191" s="77"/>
      <c r="W191" s="77"/>
      <c r="X191" s="74"/>
      <c r="Y191" s="77">
        <v>1500</v>
      </c>
      <c r="Z191" s="77"/>
      <c r="AA191" s="77"/>
      <c r="AB191" s="77"/>
      <c r="AC191" s="77"/>
      <c r="AD191" s="77"/>
      <c r="AE191" s="77"/>
      <c r="AF191" s="77"/>
      <c r="AG191" s="77"/>
      <c r="AH191" s="76">
        <f t="shared" si="23"/>
        <v>14000</v>
      </c>
    </row>
    <row r="192" spans="1:34" ht="11.25">
      <c r="A192" s="72" t="s">
        <v>178</v>
      </c>
      <c r="B192" s="73">
        <v>46</v>
      </c>
      <c r="C192" s="74"/>
      <c r="D192" s="75"/>
      <c r="E192" s="77"/>
      <c r="F192" s="78"/>
      <c r="G192" s="77"/>
      <c r="H192" s="77"/>
      <c r="I192" s="77"/>
      <c r="J192" s="77"/>
      <c r="K192" s="77"/>
      <c r="L192" s="77">
        <v>300</v>
      </c>
      <c r="M192" s="77"/>
      <c r="N192" s="77"/>
      <c r="O192" s="77"/>
      <c r="P192" s="75"/>
      <c r="Q192" s="77"/>
      <c r="R192" s="77"/>
      <c r="S192" s="77"/>
      <c r="T192" s="77"/>
      <c r="U192" s="77"/>
      <c r="V192" s="77"/>
      <c r="W192" s="77"/>
      <c r="X192" s="74"/>
      <c r="Y192" s="77"/>
      <c r="Z192" s="77"/>
      <c r="AA192" s="77"/>
      <c r="AB192" s="77"/>
      <c r="AC192" s="77"/>
      <c r="AD192" s="77"/>
      <c r="AE192" s="77"/>
      <c r="AF192" s="77"/>
      <c r="AG192" s="77"/>
      <c r="AH192" s="76">
        <f t="shared" si="23"/>
        <v>300</v>
      </c>
    </row>
    <row r="193" spans="1:34" ht="11.25">
      <c r="A193" s="72" t="s">
        <v>179</v>
      </c>
      <c r="B193" s="73">
        <v>47</v>
      </c>
      <c r="C193" s="74"/>
      <c r="D193" s="75"/>
      <c r="E193" s="77"/>
      <c r="F193" s="78"/>
      <c r="G193" s="77"/>
      <c r="H193" s="77">
        <v>516</v>
      </c>
      <c r="I193" s="77">
        <v>84</v>
      </c>
      <c r="J193" s="77"/>
      <c r="K193" s="77">
        <v>3400</v>
      </c>
      <c r="L193" s="77">
        <f>12000+500</f>
        <v>12500</v>
      </c>
      <c r="M193" s="77"/>
      <c r="N193" s="77"/>
      <c r="O193" s="77"/>
      <c r="P193" s="75"/>
      <c r="Q193" s="77"/>
      <c r="R193" s="77"/>
      <c r="S193" s="77"/>
      <c r="T193" s="77"/>
      <c r="U193" s="77"/>
      <c r="V193" s="77"/>
      <c r="W193" s="77"/>
      <c r="X193" s="74"/>
      <c r="Y193" s="77"/>
      <c r="Z193" s="77"/>
      <c r="AA193" s="77"/>
      <c r="AB193" s="77"/>
      <c r="AC193" s="77"/>
      <c r="AD193" s="77"/>
      <c r="AE193" s="77"/>
      <c r="AF193" s="77"/>
      <c r="AG193" s="77"/>
      <c r="AH193" s="76">
        <f t="shared" si="23"/>
        <v>16500</v>
      </c>
    </row>
    <row r="194" spans="1:34" ht="11.25">
      <c r="A194" s="72" t="s">
        <v>180</v>
      </c>
      <c r="B194" s="73">
        <v>48</v>
      </c>
      <c r="C194" s="74"/>
      <c r="D194" s="75"/>
      <c r="E194" s="77"/>
      <c r="F194" s="78"/>
      <c r="G194" s="77"/>
      <c r="H194" s="77"/>
      <c r="I194" s="77"/>
      <c r="J194" s="77"/>
      <c r="K194" s="77">
        <v>3000</v>
      </c>
      <c r="L194" s="77">
        <v>6735</v>
      </c>
      <c r="M194" s="77"/>
      <c r="N194" s="77"/>
      <c r="O194" s="77"/>
      <c r="P194" s="75"/>
      <c r="Q194" s="77"/>
      <c r="R194" s="77">
        <v>4000</v>
      </c>
      <c r="S194" s="77"/>
      <c r="T194" s="77"/>
      <c r="U194" s="77"/>
      <c r="V194" s="77"/>
      <c r="W194" s="77"/>
      <c r="X194" s="74"/>
      <c r="Y194" s="77"/>
      <c r="Z194" s="77"/>
      <c r="AA194" s="77"/>
      <c r="AB194" s="77"/>
      <c r="AC194" s="77"/>
      <c r="AD194" s="77"/>
      <c r="AE194" s="77"/>
      <c r="AF194" s="77"/>
      <c r="AG194" s="77"/>
      <c r="AH194" s="76">
        <f t="shared" si="23"/>
        <v>13735</v>
      </c>
    </row>
    <row r="195" spans="1:34" ht="11.25">
      <c r="A195" s="80" t="s">
        <v>237</v>
      </c>
      <c r="B195" s="80"/>
      <c r="C195" s="76">
        <f>SUM(C170:C190)</f>
        <v>0</v>
      </c>
      <c r="D195" s="81"/>
      <c r="E195" s="76">
        <f aca="true" t="shared" si="24" ref="E195:AG195">SUM(E170:E194)</f>
        <v>10712</v>
      </c>
      <c r="F195" s="76">
        <f t="shared" si="24"/>
        <v>1765129</v>
      </c>
      <c r="G195" s="76">
        <f t="shared" si="24"/>
        <v>144536</v>
      </c>
      <c r="H195" s="76">
        <f t="shared" si="24"/>
        <v>316605</v>
      </c>
      <c r="I195" s="76">
        <f t="shared" si="24"/>
        <v>50378</v>
      </c>
      <c r="J195" s="76">
        <f t="shared" si="24"/>
        <v>0</v>
      </c>
      <c r="K195" s="76">
        <f t="shared" si="24"/>
        <v>127550</v>
      </c>
      <c r="L195" s="76">
        <f t="shared" si="24"/>
        <v>306829</v>
      </c>
      <c r="M195" s="76">
        <f t="shared" si="24"/>
        <v>0</v>
      </c>
      <c r="N195" s="76">
        <f t="shared" si="24"/>
        <v>6000</v>
      </c>
      <c r="O195" s="76">
        <f t="shared" si="24"/>
        <v>1229035</v>
      </c>
      <c r="P195" s="76">
        <f t="shared" si="24"/>
        <v>49460</v>
      </c>
      <c r="Q195" s="76">
        <f t="shared" si="24"/>
        <v>4000</v>
      </c>
      <c r="R195" s="76">
        <f t="shared" si="24"/>
        <v>239160</v>
      </c>
      <c r="S195" s="76">
        <f t="shared" si="24"/>
        <v>3624</v>
      </c>
      <c r="T195" s="76">
        <f t="shared" si="24"/>
        <v>0</v>
      </c>
      <c r="U195" s="76">
        <f t="shared" si="24"/>
        <v>9100</v>
      </c>
      <c r="V195" s="76">
        <f t="shared" si="24"/>
        <v>4000</v>
      </c>
      <c r="W195" s="76">
        <f t="shared" si="24"/>
        <v>0</v>
      </c>
      <c r="X195" s="76">
        <f t="shared" si="24"/>
        <v>600</v>
      </c>
      <c r="Y195" s="76">
        <f t="shared" si="24"/>
        <v>6700</v>
      </c>
      <c r="Z195" s="76">
        <f t="shared" si="24"/>
        <v>64080</v>
      </c>
      <c r="AA195" s="76">
        <f t="shared" si="24"/>
        <v>1000</v>
      </c>
      <c r="AB195" s="76">
        <f t="shared" si="24"/>
        <v>32860</v>
      </c>
      <c r="AC195" s="76">
        <f t="shared" si="24"/>
        <v>3000</v>
      </c>
      <c r="AD195" s="76">
        <f t="shared" si="24"/>
        <v>5300</v>
      </c>
      <c r="AE195" s="76">
        <f t="shared" si="24"/>
        <v>10000</v>
      </c>
      <c r="AF195" s="76">
        <f t="shared" si="24"/>
        <v>0</v>
      </c>
      <c r="AG195" s="76">
        <f t="shared" si="24"/>
        <v>639960</v>
      </c>
      <c r="AH195" s="76">
        <f>SUM(AH170:AH194)</f>
        <v>4389658</v>
      </c>
    </row>
    <row r="196" spans="1:34" ht="11.25">
      <c r="A196" s="61"/>
      <c r="B196" s="61"/>
      <c r="C196" s="90"/>
      <c r="D196" s="95"/>
      <c r="E196" s="95"/>
      <c r="F196" s="95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</row>
    <row r="197" spans="1:34" ht="11.25" hidden="1">
      <c r="A197" s="61"/>
      <c r="B197" s="61"/>
      <c r="C197" s="90"/>
      <c r="D197" s="95"/>
      <c r="E197" s="95"/>
      <c r="F197" s="95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</row>
    <row r="198" spans="1:34" ht="11.25" hidden="1">
      <c r="A198" s="80" t="s">
        <v>238</v>
      </c>
      <c r="B198" s="80"/>
      <c r="C198" s="76">
        <f>C35+C61+C84+C94+C131+C195</f>
        <v>19265</v>
      </c>
      <c r="D198" s="81">
        <f>AH198/C198/12</f>
        <v>603.5350030279436</v>
      </c>
      <c r="E198" s="76">
        <f aca="true" t="shared" si="25" ref="E198:AG198">E35+E61+E84+E94+E131+E195</f>
        <v>341066</v>
      </c>
      <c r="F198" s="82">
        <f t="shared" si="25"/>
        <v>92027125</v>
      </c>
      <c r="G198" s="76">
        <f t="shared" si="25"/>
        <v>7708189</v>
      </c>
      <c r="H198" s="76">
        <f t="shared" si="25"/>
        <v>16162555</v>
      </c>
      <c r="I198" s="76">
        <f t="shared" si="25"/>
        <v>2571327</v>
      </c>
      <c r="J198" s="76">
        <f t="shared" si="25"/>
        <v>104200</v>
      </c>
      <c r="K198" s="76">
        <f t="shared" si="25"/>
        <v>139750</v>
      </c>
      <c r="L198" s="76">
        <f t="shared" si="25"/>
        <v>1615855</v>
      </c>
      <c r="M198" s="76">
        <f t="shared" si="25"/>
        <v>50168</v>
      </c>
      <c r="N198" s="76">
        <f t="shared" si="25"/>
        <v>150738</v>
      </c>
      <c r="O198" s="76">
        <f t="shared" si="25"/>
        <v>9320341</v>
      </c>
      <c r="P198" s="76">
        <f t="shared" si="25"/>
        <v>1866496</v>
      </c>
      <c r="Q198" s="76">
        <f t="shared" si="25"/>
        <v>156934</v>
      </c>
      <c r="R198" s="76">
        <f t="shared" si="25"/>
        <v>1450251</v>
      </c>
      <c r="S198" s="76">
        <f t="shared" si="25"/>
        <v>64937</v>
      </c>
      <c r="T198" s="76">
        <f t="shared" si="25"/>
        <v>24058</v>
      </c>
      <c r="U198" s="76">
        <f t="shared" si="25"/>
        <v>184292</v>
      </c>
      <c r="V198" s="76">
        <f t="shared" si="25"/>
        <v>4000</v>
      </c>
      <c r="W198" s="76">
        <f t="shared" si="25"/>
        <v>0</v>
      </c>
      <c r="X198" s="76">
        <f t="shared" si="25"/>
        <v>28360</v>
      </c>
      <c r="Y198" s="76">
        <f t="shared" si="25"/>
        <v>77414</v>
      </c>
      <c r="Z198" s="76">
        <f t="shared" si="25"/>
        <v>5369206</v>
      </c>
      <c r="AA198" s="76">
        <f t="shared" si="25"/>
        <v>2000</v>
      </c>
      <c r="AB198" s="76">
        <f t="shared" si="25"/>
        <v>32860</v>
      </c>
      <c r="AC198" s="76">
        <f t="shared" si="25"/>
        <v>3000</v>
      </c>
      <c r="AD198" s="76">
        <f t="shared" si="25"/>
        <v>29100</v>
      </c>
      <c r="AE198" s="76">
        <f t="shared" si="25"/>
        <v>34000</v>
      </c>
      <c r="AF198" s="76">
        <f t="shared" si="25"/>
        <v>7000</v>
      </c>
      <c r="AG198" s="76">
        <f t="shared" si="25"/>
        <v>6114376</v>
      </c>
      <c r="AH198" s="76">
        <f>AH35+AH61+AH84+AH94+AH131+AH195</f>
        <v>139525222</v>
      </c>
    </row>
    <row r="199" spans="1:34" ht="11.25" hidden="1">
      <c r="A199" s="80" t="s">
        <v>239</v>
      </c>
      <c r="B199" s="80"/>
      <c r="C199" s="76">
        <v>4165</v>
      </c>
      <c r="D199" s="81">
        <f>AH199/C199/12</f>
        <v>138.9360144057623</v>
      </c>
      <c r="E199" s="76">
        <f aca="true" t="shared" si="26" ref="E199:AG199">E160+E169</f>
        <v>16691</v>
      </c>
      <c r="F199" s="76">
        <f t="shared" si="26"/>
        <v>4961904</v>
      </c>
      <c r="G199" s="76">
        <f t="shared" si="26"/>
        <v>359017</v>
      </c>
      <c r="H199" s="76">
        <f t="shared" si="26"/>
        <v>859395</v>
      </c>
      <c r="I199" s="76">
        <f t="shared" si="26"/>
        <v>136723</v>
      </c>
      <c r="J199" s="76">
        <f t="shared" si="26"/>
        <v>0</v>
      </c>
      <c r="K199" s="76">
        <f t="shared" si="26"/>
        <v>0</v>
      </c>
      <c r="L199" s="76">
        <f t="shared" si="26"/>
        <v>29693</v>
      </c>
      <c r="M199" s="76">
        <f t="shared" si="26"/>
        <v>2000</v>
      </c>
      <c r="N199" s="76">
        <f t="shared" si="26"/>
        <v>7900</v>
      </c>
      <c r="O199" s="76">
        <f t="shared" si="26"/>
        <v>153090</v>
      </c>
      <c r="P199" s="76">
        <f t="shared" si="26"/>
        <v>600</v>
      </c>
      <c r="Q199" s="76">
        <f t="shared" si="26"/>
        <v>2260</v>
      </c>
      <c r="R199" s="76">
        <f t="shared" si="26"/>
        <v>38398</v>
      </c>
      <c r="S199" s="76">
        <f t="shared" si="26"/>
        <v>0</v>
      </c>
      <c r="T199" s="76">
        <f t="shared" si="26"/>
        <v>50</v>
      </c>
      <c r="U199" s="76">
        <f t="shared" si="26"/>
        <v>600</v>
      </c>
      <c r="V199" s="76">
        <f t="shared" si="26"/>
        <v>0</v>
      </c>
      <c r="W199" s="76">
        <f t="shared" si="26"/>
        <v>0</v>
      </c>
      <c r="X199" s="76">
        <f t="shared" si="26"/>
        <v>0</v>
      </c>
      <c r="Y199" s="76">
        <f t="shared" si="26"/>
        <v>0</v>
      </c>
      <c r="Z199" s="76">
        <f t="shared" si="26"/>
        <v>375701</v>
      </c>
      <c r="AA199" s="76">
        <f t="shared" si="26"/>
        <v>0</v>
      </c>
      <c r="AB199" s="76">
        <f t="shared" si="26"/>
        <v>0</v>
      </c>
      <c r="AC199" s="76">
        <f t="shared" si="26"/>
        <v>0</v>
      </c>
      <c r="AD199" s="76">
        <f t="shared" si="26"/>
        <v>0</v>
      </c>
      <c r="AE199" s="76">
        <f t="shared" si="26"/>
        <v>0</v>
      </c>
      <c r="AF199" s="76">
        <f t="shared" si="26"/>
        <v>0</v>
      </c>
      <c r="AG199" s="76">
        <f t="shared" si="26"/>
        <v>65892</v>
      </c>
      <c r="AH199" s="76">
        <f>AH160+AH169</f>
        <v>6944022</v>
      </c>
    </row>
    <row r="200" ht="11.25" hidden="1"/>
    <row r="201" spans="1:34" ht="11.25" hidden="1">
      <c r="A201" s="83" t="s">
        <v>240</v>
      </c>
      <c r="E201" s="92">
        <f aca="true" t="shared" si="27" ref="E201:AG201">E198+E199</f>
        <v>357757</v>
      </c>
      <c r="F201" s="92">
        <f t="shared" si="27"/>
        <v>96989029</v>
      </c>
      <c r="G201" s="92">
        <f t="shared" si="27"/>
        <v>8067206</v>
      </c>
      <c r="H201" s="92">
        <f t="shared" si="27"/>
        <v>17021950</v>
      </c>
      <c r="I201" s="92">
        <f t="shared" si="27"/>
        <v>2708050</v>
      </c>
      <c r="J201" s="92">
        <f t="shared" si="27"/>
        <v>104200</v>
      </c>
      <c r="K201" s="92">
        <f t="shared" si="27"/>
        <v>139750</v>
      </c>
      <c r="L201" s="92">
        <f t="shared" si="27"/>
        <v>1645548</v>
      </c>
      <c r="M201" s="92">
        <f t="shared" si="27"/>
        <v>52168</v>
      </c>
      <c r="N201" s="92">
        <f t="shared" si="27"/>
        <v>158638</v>
      </c>
      <c r="O201" s="92">
        <f t="shared" si="27"/>
        <v>9473431</v>
      </c>
      <c r="P201" s="92">
        <f t="shared" si="27"/>
        <v>1867096</v>
      </c>
      <c r="Q201" s="92">
        <f t="shared" si="27"/>
        <v>159194</v>
      </c>
      <c r="R201" s="92">
        <f t="shared" si="27"/>
        <v>1488649</v>
      </c>
      <c r="S201" s="92">
        <f t="shared" si="27"/>
        <v>64937</v>
      </c>
      <c r="T201" s="92">
        <f t="shared" si="27"/>
        <v>24108</v>
      </c>
      <c r="U201" s="92">
        <f t="shared" si="27"/>
        <v>184892</v>
      </c>
      <c r="V201" s="92">
        <f t="shared" si="27"/>
        <v>4000</v>
      </c>
      <c r="W201" s="92">
        <f t="shared" si="27"/>
        <v>0</v>
      </c>
      <c r="X201" s="92">
        <f t="shared" si="27"/>
        <v>28360</v>
      </c>
      <c r="Y201" s="92">
        <f t="shared" si="27"/>
        <v>77414</v>
      </c>
      <c r="Z201" s="92">
        <f t="shared" si="27"/>
        <v>5744907</v>
      </c>
      <c r="AA201" s="92">
        <f t="shared" si="27"/>
        <v>2000</v>
      </c>
      <c r="AB201" s="92">
        <f t="shared" si="27"/>
        <v>32860</v>
      </c>
      <c r="AC201" s="92">
        <f t="shared" si="27"/>
        <v>3000</v>
      </c>
      <c r="AD201" s="92">
        <f t="shared" si="27"/>
        <v>29100</v>
      </c>
      <c r="AE201" s="92">
        <f t="shared" si="27"/>
        <v>34000</v>
      </c>
      <c r="AF201" s="92">
        <f t="shared" si="27"/>
        <v>7000</v>
      </c>
      <c r="AG201" s="92">
        <f t="shared" si="27"/>
        <v>6180268</v>
      </c>
      <c r="AH201" s="92">
        <f>AH198+AH199</f>
        <v>146469244</v>
      </c>
    </row>
    <row r="202" ht="11.25" hidden="1"/>
    <row r="203" ht="11.25" hidden="1"/>
  </sheetData>
  <printOptions/>
  <pageMargins left="0.5905511811023623" right="0.3937007874015748" top="0.68" bottom="0.5905511811023623" header="0.15748031496062992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8"/>
  <sheetViews>
    <sheetView workbookViewId="0" topLeftCell="A1">
      <pane xSplit="1" ySplit="2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5" sqref="A95"/>
    </sheetView>
  </sheetViews>
  <sheetFormatPr defaultColWidth="9.00390625" defaultRowHeight="12.75"/>
  <cols>
    <col min="1" max="1" width="35.875" style="51" customWidth="1"/>
    <col min="2" max="2" width="7.375" style="23" customWidth="1"/>
    <col min="3" max="3" width="6.625" style="18" hidden="1" customWidth="1"/>
    <col min="4" max="4" width="8.125" style="18" hidden="1" customWidth="1"/>
    <col min="5" max="5" width="6.625" style="18" bestFit="1" customWidth="1"/>
    <col min="6" max="6" width="8.875" style="18" customWidth="1"/>
    <col min="7" max="7" width="9.75390625" style="18" hidden="1" customWidth="1"/>
    <col min="8" max="8" width="7.875" style="18" bestFit="1" customWidth="1"/>
    <col min="9" max="9" width="8.625" style="18" customWidth="1"/>
    <col min="10" max="10" width="7.875" style="18" bestFit="1" customWidth="1"/>
    <col min="11" max="12" width="6.625" style="18" bestFit="1" customWidth="1"/>
    <col min="13" max="13" width="6.875" style="18" customWidth="1"/>
    <col min="14" max="14" width="6.375" style="18" hidden="1" customWidth="1"/>
    <col min="15" max="15" width="6.625" style="18" customWidth="1"/>
    <col min="16" max="17" width="7.625" style="18" customWidth="1"/>
    <col min="18" max="18" width="6.375" style="18" customWidth="1"/>
    <col min="19" max="19" width="7.875" style="18" customWidth="1"/>
    <col min="20" max="20" width="6.125" style="18" customWidth="1"/>
    <col min="21" max="21" width="6.00390625" style="18" customWidth="1"/>
    <col min="22" max="22" width="6.25390625" style="18" customWidth="1"/>
    <col min="23" max="24" width="6.00390625" style="18" customWidth="1"/>
    <col min="25" max="25" width="6.25390625" style="18" customWidth="1"/>
    <col min="26" max="26" width="7.75390625" style="18" customWidth="1"/>
    <col min="27" max="27" width="6.25390625" style="18" customWidth="1"/>
    <col min="28" max="28" width="5.75390625" style="18" customWidth="1"/>
    <col min="29" max="29" width="6.625" style="18" bestFit="1" customWidth="1"/>
    <col min="30" max="30" width="8.25390625" style="18" customWidth="1"/>
    <col min="31" max="31" width="9.375" style="18" customWidth="1"/>
    <col min="32" max="32" width="10.25390625" style="18" customWidth="1"/>
    <col min="33" max="16384" width="9.125" style="18" customWidth="1"/>
  </cols>
  <sheetData>
    <row r="1" ht="49.5" customHeight="1">
      <c r="B1" s="28" t="s">
        <v>244</v>
      </c>
    </row>
    <row r="2" spans="1:32" ht="42">
      <c r="A2" s="43"/>
      <c r="B2" s="1" t="s">
        <v>0</v>
      </c>
      <c r="C2" s="2" t="s">
        <v>1</v>
      </c>
      <c r="D2" s="2" t="s">
        <v>2</v>
      </c>
      <c r="E2" s="2" t="s">
        <v>1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3" t="s">
        <v>28</v>
      </c>
      <c r="AF2" s="3" t="s">
        <v>29</v>
      </c>
    </row>
    <row r="3" spans="1:32" s="19" customFormat="1" ht="11.25">
      <c r="A3" s="44" t="s">
        <v>30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4"/>
    </row>
    <row r="4" spans="1:32" s="19" customFormat="1" ht="11.25">
      <c r="A4" s="45" t="s">
        <v>31</v>
      </c>
      <c r="B4" s="8">
        <v>19</v>
      </c>
      <c r="C4" s="9">
        <v>0</v>
      </c>
      <c r="D4" s="9">
        <v>1040</v>
      </c>
      <c r="E4" s="9">
        <f aca="true" t="shared" si="0" ref="E4:E35">SUM(C4:D4)</f>
        <v>1040</v>
      </c>
      <c r="F4" s="9">
        <f>503309-30000</f>
        <v>473309</v>
      </c>
      <c r="G4" s="9"/>
      <c r="H4" s="9">
        <v>37400</v>
      </c>
      <c r="I4" s="9">
        <f>(F4+H4)*15.4%</f>
        <v>78649.186</v>
      </c>
      <c r="J4" s="9">
        <f>(F4+H4)*2.45%</f>
        <v>12512.3705</v>
      </c>
      <c r="K4" s="9">
        <v>0</v>
      </c>
      <c r="L4" s="9">
        <v>0</v>
      </c>
      <c r="M4" s="9">
        <v>17184</v>
      </c>
      <c r="N4" s="9">
        <v>0</v>
      </c>
      <c r="O4" s="9">
        <v>536</v>
      </c>
      <c r="P4" s="9">
        <v>4512</v>
      </c>
      <c r="Q4" s="10">
        <v>0</v>
      </c>
      <c r="R4" s="10">
        <v>0</v>
      </c>
      <c r="S4" s="9">
        <v>922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24736</v>
      </c>
      <c r="AA4" s="9">
        <v>0</v>
      </c>
      <c r="AB4" s="9">
        <v>0</v>
      </c>
      <c r="AC4" s="9"/>
      <c r="AD4" s="11">
        <f aca="true" t="shared" si="1" ref="AD4:AD35">AB4+AA4+Y4+X4+W4+V4+U4+T4+S4+R4+Q4+O4+M4+L4+C4+D4+K4+AC4</f>
        <v>19682</v>
      </c>
      <c r="AE4" s="11">
        <f>F4+H4+I4+J4+P4+Z4+AD4</f>
        <v>650800.5565</v>
      </c>
      <c r="AF4" s="20">
        <f>AE4/12/B4</f>
        <v>2854.388405701754</v>
      </c>
    </row>
    <row r="5" spans="1:32" s="19" customFormat="1" ht="11.25">
      <c r="A5" s="46" t="s">
        <v>32</v>
      </c>
      <c r="B5" s="8">
        <v>125</v>
      </c>
      <c r="C5" s="9">
        <v>2000</v>
      </c>
      <c r="D5" s="9">
        <v>4993</v>
      </c>
      <c r="E5" s="9">
        <f t="shared" si="0"/>
        <v>6993</v>
      </c>
      <c r="F5" s="9">
        <f>2291850-100000</f>
        <v>2191850</v>
      </c>
      <c r="G5" s="9"/>
      <c r="H5" s="9">
        <v>146500</v>
      </c>
      <c r="I5" s="9">
        <f>(F5+H5)*15.4%</f>
        <v>360105.9</v>
      </c>
      <c r="J5" s="9">
        <f>(F5+H5)*2.45%</f>
        <v>57289.575000000004</v>
      </c>
      <c r="K5" s="9">
        <v>0</v>
      </c>
      <c r="L5" s="9">
        <v>0</v>
      </c>
      <c r="M5" s="9">
        <v>4800</v>
      </c>
      <c r="N5" s="9">
        <v>0</v>
      </c>
      <c r="O5" s="9">
        <v>0</v>
      </c>
      <c r="P5" s="9">
        <v>54837</v>
      </c>
      <c r="Q5" s="10">
        <v>0</v>
      </c>
      <c r="R5" s="10">
        <v>0</v>
      </c>
      <c r="S5" s="9">
        <v>8000</v>
      </c>
      <c r="T5" s="9">
        <v>700</v>
      </c>
      <c r="U5" s="9">
        <v>0</v>
      </c>
      <c r="V5" s="9">
        <v>6500</v>
      </c>
      <c r="W5" s="9">
        <v>0</v>
      </c>
      <c r="X5" s="9">
        <v>0</v>
      </c>
      <c r="Y5" s="9">
        <v>2000</v>
      </c>
      <c r="Z5" s="9">
        <v>119363</v>
      </c>
      <c r="AA5" s="9">
        <v>500</v>
      </c>
      <c r="AB5" s="11">
        <v>0</v>
      </c>
      <c r="AC5" s="9">
        <v>250000</v>
      </c>
      <c r="AD5" s="11">
        <f t="shared" si="1"/>
        <v>279493</v>
      </c>
      <c r="AE5" s="11">
        <f>F5+H5+I5+J5+P5+Z5+AD5</f>
        <v>3209438.475</v>
      </c>
      <c r="AF5" s="20">
        <f>AE5/12/B5</f>
        <v>2139.62565</v>
      </c>
    </row>
    <row r="6" spans="1:32" s="19" customFormat="1" ht="11.25">
      <c r="A6" s="46" t="s">
        <v>33</v>
      </c>
      <c r="B6" s="8">
        <v>61</v>
      </c>
      <c r="C6" s="9">
        <v>0</v>
      </c>
      <c r="D6" s="9">
        <v>3296</v>
      </c>
      <c r="E6" s="9">
        <f t="shared" si="0"/>
        <v>3296</v>
      </c>
      <c r="F6" s="9">
        <f>1652711-75000-153161</f>
        <v>1424550</v>
      </c>
      <c r="G6" s="9"/>
      <c r="H6" s="9">
        <f>134730-7214</f>
        <v>127516</v>
      </c>
      <c r="I6" s="9">
        <f>(F6+H6)*15.4%</f>
        <v>239018.164</v>
      </c>
      <c r="J6" s="9">
        <f>(F6+H6)*2.45%</f>
        <v>38025.617</v>
      </c>
      <c r="K6" s="9">
        <v>0</v>
      </c>
      <c r="L6" s="9">
        <v>0</v>
      </c>
      <c r="M6" s="9">
        <v>4560</v>
      </c>
      <c r="N6" s="9">
        <v>0</v>
      </c>
      <c r="O6" s="9">
        <v>2500</v>
      </c>
      <c r="P6" s="9">
        <v>28884</v>
      </c>
      <c r="Q6" s="10">
        <v>0</v>
      </c>
      <c r="R6" s="10">
        <v>0</v>
      </c>
      <c r="S6" s="9">
        <v>5000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89746</v>
      </c>
      <c r="AA6" s="9">
        <v>0</v>
      </c>
      <c r="AB6" s="11">
        <v>0</v>
      </c>
      <c r="AC6" s="11"/>
      <c r="AD6" s="11">
        <f t="shared" si="1"/>
        <v>15356</v>
      </c>
      <c r="AE6" s="11">
        <f>F6+H6+I6+J6+P6+Z6+AD6</f>
        <v>1963095.781</v>
      </c>
      <c r="AF6" s="20">
        <f>AE6/12/B6</f>
        <v>2681.8248374316936</v>
      </c>
    </row>
    <row r="7" spans="1:32" s="19" customFormat="1" ht="11.25">
      <c r="A7" s="47" t="s">
        <v>34</v>
      </c>
      <c r="B7" s="11">
        <f>SUM(B4:B6)</f>
        <v>205</v>
      </c>
      <c r="C7" s="11">
        <f>SUM(C4:C6)</f>
        <v>2000</v>
      </c>
      <c r="D7" s="11">
        <f>SUM(D4:D6)</f>
        <v>9329</v>
      </c>
      <c r="E7" s="11">
        <f t="shared" si="0"/>
        <v>11329</v>
      </c>
      <c r="F7" s="11">
        <f aca="true" t="shared" si="2" ref="F7:AC7">SUM(F4:F6)</f>
        <v>4089709</v>
      </c>
      <c r="G7" s="11">
        <f t="shared" si="2"/>
        <v>0</v>
      </c>
      <c r="H7" s="11">
        <f t="shared" si="2"/>
        <v>311416</v>
      </c>
      <c r="I7" s="11">
        <f t="shared" si="2"/>
        <v>677773.25</v>
      </c>
      <c r="J7" s="11">
        <f t="shared" si="2"/>
        <v>107827.5625</v>
      </c>
      <c r="K7" s="11">
        <f t="shared" si="2"/>
        <v>0</v>
      </c>
      <c r="L7" s="11">
        <f t="shared" si="2"/>
        <v>0</v>
      </c>
      <c r="M7" s="11">
        <f t="shared" si="2"/>
        <v>26544</v>
      </c>
      <c r="N7" s="11">
        <f t="shared" si="2"/>
        <v>0</v>
      </c>
      <c r="O7" s="11">
        <f t="shared" si="2"/>
        <v>3036</v>
      </c>
      <c r="P7" s="11">
        <f t="shared" si="2"/>
        <v>88233</v>
      </c>
      <c r="Q7" s="11">
        <f t="shared" si="2"/>
        <v>0</v>
      </c>
      <c r="R7" s="11">
        <f t="shared" si="2"/>
        <v>0</v>
      </c>
      <c r="S7" s="11">
        <f t="shared" si="2"/>
        <v>13922</v>
      </c>
      <c r="T7" s="11">
        <f t="shared" si="2"/>
        <v>700</v>
      </c>
      <c r="U7" s="11">
        <f t="shared" si="2"/>
        <v>0</v>
      </c>
      <c r="V7" s="11">
        <f t="shared" si="2"/>
        <v>6500</v>
      </c>
      <c r="W7" s="11">
        <f t="shared" si="2"/>
        <v>0</v>
      </c>
      <c r="X7" s="11">
        <f t="shared" si="2"/>
        <v>0</v>
      </c>
      <c r="Y7" s="11">
        <f t="shared" si="2"/>
        <v>2000</v>
      </c>
      <c r="Z7" s="11">
        <f t="shared" si="2"/>
        <v>233845</v>
      </c>
      <c r="AA7" s="11">
        <f t="shared" si="2"/>
        <v>500</v>
      </c>
      <c r="AB7" s="11">
        <f t="shared" si="2"/>
        <v>0</v>
      </c>
      <c r="AC7" s="11">
        <f t="shared" si="2"/>
        <v>250000</v>
      </c>
      <c r="AD7" s="11">
        <f t="shared" si="1"/>
        <v>314531</v>
      </c>
      <c r="AE7" s="11">
        <f>SUM(AE4:AE6)</f>
        <v>5823334.8125</v>
      </c>
      <c r="AF7" s="20">
        <f>AE7/12/B7</f>
        <v>2367.2092733739837</v>
      </c>
    </row>
    <row r="8" spans="1:32" s="19" customFormat="1" ht="11.25">
      <c r="A8" s="46" t="s">
        <v>33</v>
      </c>
      <c r="B8" s="9">
        <v>12</v>
      </c>
      <c r="C8" s="9">
        <v>0</v>
      </c>
      <c r="D8" s="9">
        <v>0</v>
      </c>
      <c r="E8" s="9">
        <f t="shared" si="0"/>
        <v>0</v>
      </c>
      <c r="F8" s="9">
        <v>153161</v>
      </c>
      <c r="G8" s="9"/>
      <c r="H8" s="9">
        <v>7214</v>
      </c>
      <c r="I8" s="9">
        <f>(F8+H8)*15.4%</f>
        <v>24697.75</v>
      </c>
      <c r="J8" s="9">
        <f>(F8+H8)*2.45%</f>
        <v>3929.1875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/>
      <c r="AD8" s="11">
        <f t="shared" si="1"/>
        <v>0</v>
      </c>
      <c r="AE8" s="11">
        <f>F8+H8+I8+J8+P8+Z8+AD8</f>
        <v>189001.9375</v>
      </c>
      <c r="AF8" s="20">
        <f>AE8/12/B8</f>
        <v>1312.513454861111</v>
      </c>
    </row>
    <row r="9" spans="1:32" s="19" customFormat="1" ht="11.25">
      <c r="A9" s="47" t="s">
        <v>35</v>
      </c>
      <c r="B9" s="11">
        <f>B8</f>
        <v>12</v>
      </c>
      <c r="C9" s="11">
        <f>C8</f>
        <v>0</v>
      </c>
      <c r="D9" s="11">
        <f>D8</f>
        <v>0</v>
      </c>
      <c r="E9" s="11">
        <f t="shared" si="0"/>
        <v>0</v>
      </c>
      <c r="F9" s="11">
        <f aca="true" t="shared" si="3" ref="F9:AC9">F8</f>
        <v>153161</v>
      </c>
      <c r="G9" s="11">
        <f t="shared" si="3"/>
        <v>0</v>
      </c>
      <c r="H9" s="11">
        <f t="shared" si="3"/>
        <v>7214</v>
      </c>
      <c r="I9" s="11">
        <f t="shared" si="3"/>
        <v>24697.75</v>
      </c>
      <c r="J9" s="11">
        <f t="shared" si="3"/>
        <v>3929.1875</v>
      </c>
      <c r="K9" s="11">
        <f t="shared" si="3"/>
        <v>0</v>
      </c>
      <c r="L9" s="11">
        <f t="shared" si="3"/>
        <v>0</v>
      </c>
      <c r="M9" s="11">
        <f t="shared" si="3"/>
        <v>0</v>
      </c>
      <c r="N9" s="11">
        <f t="shared" si="3"/>
        <v>0</v>
      </c>
      <c r="O9" s="11">
        <f t="shared" si="3"/>
        <v>0</v>
      </c>
      <c r="P9" s="11">
        <f t="shared" si="3"/>
        <v>0</v>
      </c>
      <c r="Q9" s="11">
        <f t="shared" si="3"/>
        <v>0</v>
      </c>
      <c r="R9" s="11">
        <f t="shared" si="3"/>
        <v>0</v>
      </c>
      <c r="S9" s="11">
        <f t="shared" si="3"/>
        <v>0</v>
      </c>
      <c r="T9" s="11">
        <f t="shared" si="3"/>
        <v>0</v>
      </c>
      <c r="U9" s="11">
        <f t="shared" si="3"/>
        <v>0</v>
      </c>
      <c r="V9" s="11">
        <f t="shared" si="3"/>
        <v>0</v>
      </c>
      <c r="W9" s="11">
        <f t="shared" si="3"/>
        <v>0</v>
      </c>
      <c r="X9" s="11">
        <f t="shared" si="3"/>
        <v>0</v>
      </c>
      <c r="Y9" s="11">
        <f t="shared" si="3"/>
        <v>0</v>
      </c>
      <c r="Z9" s="11">
        <f t="shared" si="3"/>
        <v>0</v>
      </c>
      <c r="AA9" s="11">
        <f t="shared" si="3"/>
        <v>0</v>
      </c>
      <c r="AB9" s="11">
        <f t="shared" si="3"/>
        <v>0</v>
      </c>
      <c r="AC9" s="11">
        <f t="shared" si="3"/>
        <v>0</v>
      </c>
      <c r="AD9" s="11">
        <f t="shared" si="1"/>
        <v>0</v>
      </c>
      <c r="AE9" s="11">
        <f>AE8</f>
        <v>189001.9375</v>
      </c>
      <c r="AF9" s="11">
        <f>AF8</f>
        <v>1312.513454861111</v>
      </c>
    </row>
    <row r="10" spans="1:32" s="19" customFormat="1" ht="11.25">
      <c r="A10" s="45" t="s">
        <v>31</v>
      </c>
      <c r="B10" s="8">
        <v>13</v>
      </c>
      <c r="C10" s="9">
        <v>0</v>
      </c>
      <c r="D10" s="9">
        <v>547</v>
      </c>
      <c r="E10" s="9">
        <f t="shared" si="0"/>
        <v>547</v>
      </c>
      <c r="F10" s="9">
        <v>345531</v>
      </c>
      <c r="G10" s="9"/>
      <c r="H10" s="9">
        <v>32900</v>
      </c>
      <c r="I10" s="9">
        <f>(F10+H10)*15.4%</f>
        <v>58278.373999999996</v>
      </c>
      <c r="J10" s="9">
        <f>(F10+H10)*2.45%</f>
        <v>9271.559500000001</v>
      </c>
      <c r="K10" s="9">
        <v>0</v>
      </c>
      <c r="L10" s="9">
        <v>0</v>
      </c>
      <c r="M10" s="9">
        <v>8691</v>
      </c>
      <c r="N10" s="9">
        <v>0</v>
      </c>
      <c r="O10" s="9">
        <v>372</v>
      </c>
      <c r="P10" s="9">
        <v>2050</v>
      </c>
      <c r="Q10" s="10">
        <v>0</v>
      </c>
      <c r="R10" s="10">
        <v>0</v>
      </c>
      <c r="S10" s="9">
        <v>922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13555</v>
      </c>
      <c r="AA10" s="9">
        <v>0</v>
      </c>
      <c r="AB10" s="9">
        <v>0</v>
      </c>
      <c r="AC10" s="11"/>
      <c r="AD10" s="11">
        <f t="shared" si="1"/>
        <v>10532</v>
      </c>
      <c r="AE10" s="11">
        <f>F10+H10+I10+J10+P10+Z10+AD10</f>
        <v>472117.9335</v>
      </c>
      <c r="AF10" s="20">
        <f>AE10/12/B10</f>
        <v>3026.3970096153844</v>
      </c>
    </row>
    <row r="11" spans="1:32" s="19" customFormat="1" ht="11.25">
      <c r="A11" s="46" t="s">
        <v>32</v>
      </c>
      <c r="B11" s="8">
        <v>72</v>
      </c>
      <c r="C11" s="9">
        <v>0</v>
      </c>
      <c r="D11" s="9">
        <v>2394</v>
      </c>
      <c r="E11" s="9">
        <f t="shared" si="0"/>
        <v>2394</v>
      </c>
      <c r="F11" s="9">
        <f>1331130-50000</f>
        <v>1281130</v>
      </c>
      <c r="G11" s="9"/>
      <c r="H11" s="9">
        <v>113800</v>
      </c>
      <c r="I11" s="9">
        <f>(F11+H11)*15.4%</f>
        <v>214819.22</v>
      </c>
      <c r="J11" s="9">
        <f>(F11+H11)*2.45%</f>
        <v>34175.785</v>
      </c>
      <c r="K11" s="9">
        <v>0</v>
      </c>
      <c r="L11" s="9">
        <v>0</v>
      </c>
      <c r="M11" s="9">
        <v>1968</v>
      </c>
      <c r="N11" s="9">
        <v>0</v>
      </c>
      <c r="O11" s="9">
        <v>0</v>
      </c>
      <c r="P11" s="9">
        <v>36234</v>
      </c>
      <c r="Q11" s="12">
        <v>3492</v>
      </c>
      <c r="R11" s="12">
        <v>6000</v>
      </c>
      <c r="S11" s="9">
        <v>1500</v>
      </c>
      <c r="T11" s="9">
        <v>0</v>
      </c>
      <c r="U11" s="9">
        <v>0</v>
      </c>
      <c r="V11" s="9">
        <v>0</v>
      </c>
      <c r="W11" s="9">
        <v>0</v>
      </c>
      <c r="X11" s="9">
        <v>1500</v>
      </c>
      <c r="Y11" s="9">
        <v>0</v>
      </c>
      <c r="Z11" s="9">
        <v>57080</v>
      </c>
      <c r="AA11" s="9">
        <v>0</v>
      </c>
      <c r="AB11" s="9">
        <v>0</v>
      </c>
      <c r="AC11" s="11"/>
      <c r="AD11" s="11">
        <f t="shared" si="1"/>
        <v>16854</v>
      </c>
      <c r="AE11" s="11">
        <f>F11+H11+I11+J11+P11+Z11+AD11</f>
        <v>1754093.005</v>
      </c>
      <c r="AF11" s="20">
        <f>AE11/12/B11</f>
        <v>2030.2002372685185</v>
      </c>
    </row>
    <row r="12" spans="1:32" ht="11.25">
      <c r="A12" s="46" t="s">
        <v>33</v>
      </c>
      <c r="B12" s="8">
        <v>28</v>
      </c>
      <c r="C12" s="9">
        <v>0</v>
      </c>
      <c r="D12" s="9">
        <v>1178</v>
      </c>
      <c r="E12" s="9">
        <f t="shared" si="0"/>
        <v>1178</v>
      </c>
      <c r="F12" s="9">
        <v>541712</v>
      </c>
      <c r="G12" s="9"/>
      <c r="H12" s="9">
        <v>43036</v>
      </c>
      <c r="I12" s="9">
        <f>(F12+H12)*15.4%</f>
        <v>90051.192</v>
      </c>
      <c r="J12" s="9">
        <f>(F12+H12)*2.45%</f>
        <v>14326.326000000001</v>
      </c>
      <c r="K12" s="9">
        <v>0</v>
      </c>
      <c r="L12" s="9">
        <v>0</v>
      </c>
      <c r="M12" s="9">
        <v>1900</v>
      </c>
      <c r="N12" s="9">
        <v>0</v>
      </c>
      <c r="O12" s="9">
        <v>140</v>
      </c>
      <c r="P12" s="9">
        <v>630</v>
      </c>
      <c r="Q12" s="9">
        <v>0</v>
      </c>
      <c r="R12" s="9">
        <v>0</v>
      </c>
      <c r="S12" s="9">
        <v>3000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29632</v>
      </c>
      <c r="AA12" s="9">
        <v>0</v>
      </c>
      <c r="AB12" s="9">
        <v>0</v>
      </c>
      <c r="AC12" s="11"/>
      <c r="AD12" s="11">
        <f t="shared" si="1"/>
        <v>6218</v>
      </c>
      <c r="AE12" s="11">
        <f>F12+H12+I12+J12+P12+Z12+AD12</f>
        <v>725605.518</v>
      </c>
      <c r="AF12" s="20">
        <f>AE12/12/B12</f>
        <v>2159.5402321428573</v>
      </c>
    </row>
    <row r="13" spans="1:32" ht="11.25">
      <c r="A13" s="47" t="s">
        <v>36</v>
      </c>
      <c r="B13" s="11">
        <f>SUM(B10:B12)</f>
        <v>113</v>
      </c>
      <c r="C13" s="11">
        <f>SUM(C10:C12)</f>
        <v>0</v>
      </c>
      <c r="D13" s="11">
        <f>SUM(D10:D12)</f>
        <v>4119</v>
      </c>
      <c r="E13" s="11">
        <f t="shared" si="0"/>
        <v>4119</v>
      </c>
      <c r="F13" s="11">
        <f aca="true" t="shared" si="4" ref="F13:AC13">SUM(F10:F12)</f>
        <v>2168373</v>
      </c>
      <c r="G13" s="11">
        <f t="shared" si="4"/>
        <v>0</v>
      </c>
      <c r="H13" s="11">
        <f t="shared" si="4"/>
        <v>189736</v>
      </c>
      <c r="I13" s="11">
        <f t="shared" si="4"/>
        <v>363148.78599999996</v>
      </c>
      <c r="J13" s="11">
        <f t="shared" si="4"/>
        <v>57773.67050000001</v>
      </c>
      <c r="K13" s="11">
        <f t="shared" si="4"/>
        <v>0</v>
      </c>
      <c r="L13" s="11">
        <f t="shared" si="4"/>
        <v>0</v>
      </c>
      <c r="M13" s="11">
        <f t="shared" si="4"/>
        <v>12559</v>
      </c>
      <c r="N13" s="11">
        <f t="shared" si="4"/>
        <v>0</v>
      </c>
      <c r="O13" s="11">
        <f t="shared" si="4"/>
        <v>512</v>
      </c>
      <c r="P13" s="11">
        <f t="shared" si="4"/>
        <v>38914</v>
      </c>
      <c r="Q13" s="11">
        <f t="shared" si="4"/>
        <v>3492</v>
      </c>
      <c r="R13" s="11">
        <f t="shared" si="4"/>
        <v>6000</v>
      </c>
      <c r="S13" s="11">
        <f t="shared" si="4"/>
        <v>5422</v>
      </c>
      <c r="T13" s="11">
        <f t="shared" si="4"/>
        <v>0</v>
      </c>
      <c r="U13" s="11">
        <f t="shared" si="4"/>
        <v>0</v>
      </c>
      <c r="V13" s="11">
        <f t="shared" si="4"/>
        <v>0</v>
      </c>
      <c r="W13" s="11">
        <f t="shared" si="4"/>
        <v>0</v>
      </c>
      <c r="X13" s="11">
        <f t="shared" si="4"/>
        <v>1500</v>
      </c>
      <c r="Y13" s="11">
        <f t="shared" si="4"/>
        <v>0</v>
      </c>
      <c r="Z13" s="11">
        <f t="shared" si="4"/>
        <v>100267</v>
      </c>
      <c r="AA13" s="11">
        <f t="shared" si="4"/>
        <v>0</v>
      </c>
      <c r="AB13" s="11">
        <f t="shared" si="4"/>
        <v>0</v>
      </c>
      <c r="AC13" s="11">
        <f t="shared" si="4"/>
        <v>0</v>
      </c>
      <c r="AD13" s="11">
        <f t="shared" si="1"/>
        <v>33604</v>
      </c>
      <c r="AE13" s="11">
        <f>SUM(AE10:AE12)</f>
        <v>2951816.4565</v>
      </c>
      <c r="AF13" s="20">
        <f>AE13/12/B13</f>
        <v>2176.855793879056</v>
      </c>
    </row>
    <row r="14" spans="1:32" ht="11.25">
      <c r="A14" s="46" t="s">
        <v>37</v>
      </c>
      <c r="B14" s="11"/>
      <c r="C14" s="11"/>
      <c r="D14" s="11"/>
      <c r="E14" s="11">
        <f t="shared" si="0"/>
        <v>0</v>
      </c>
      <c r="F14" s="11"/>
      <c r="G14" s="11"/>
      <c r="H14" s="11"/>
      <c r="I14" s="9">
        <f>(F14+H14)*15.4%</f>
        <v>0</v>
      </c>
      <c r="J14" s="9">
        <f>(F14+H14)*2.45%</f>
        <v>0</v>
      </c>
      <c r="K14" s="11"/>
      <c r="L14" s="11"/>
      <c r="M14" s="11"/>
      <c r="N14" s="11"/>
      <c r="O14" s="11"/>
      <c r="P14" s="11"/>
      <c r="Q14" s="11"/>
      <c r="R14" s="11"/>
      <c r="S14" s="9">
        <v>5980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>
        <f t="shared" si="1"/>
        <v>5980</v>
      </c>
      <c r="AE14" s="11">
        <f>F14+H14+I14+J14+P14+Z14+AD14</f>
        <v>5980</v>
      </c>
      <c r="AF14" s="20"/>
    </row>
    <row r="15" spans="1:32" ht="11.25">
      <c r="A15" s="46" t="s">
        <v>38</v>
      </c>
      <c r="B15" s="11"/>
      <c r="C15" s="11"/>
      <c r="D15" s="11"/>
      <c r="E15" s="11">
        <f t="shared" si="0"/>
        <v>0</v>
      </c>
      <c r="F15" s="11"/>
      <c r="G15" s="11"/>
      <c r="H15" s="11"/>
      <c r="I15" s="9">
        <f>(F15+H15)*15.4%</f>
        <v>0</v>
      </c>
      <c r="J15" s="9">
        <f>(F15+H15)*2.45%</f>
        <v>0</v>
      </c>
      <c r="K15" s="11"/>
      <c r="L15" s="11"/>
      <c r="M15" s="11"/>
      <c r="N15" s="11"/>
      <c r="O15" s="11"/>
      <c r="P15" s="11"/>
      <c r="Q15" s="11"/>
      <c r="R15" s="11"/>
      <c r="S15" s="9">
        <v>25000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>
        <f t="shared" si="1"/>
        <v>25000</v>
      </c>
      <c r="AE15" s="11">
        <f>F15+H15+I15+J15+P15+Z15+AD15</f>
        <v>25000</v>
      </c>
      <c r="AF15" s="20"/>
    </row>
    <row r="16" spans="1:32" ht="11.25">
      <c r="A16" s="46" t="s">
        <v>32</v>
      </c>
      <c r="B16" s="11"/>
      <c r="C16" s="11"/>
      <c r="D16" s="11"/>
      <c r="E16" s="11">
        <f t="shared" si="0"/>
        <v>0</v>
      </c>
      <c r="F16" s="11"/>
      <c r="G16" s="11"/>
      <c r="H16" s="11"/>
      <c r="I16" s="9">
        <f>(F16+H16)*15.4%</f>
        <v>0</v>
      </c>
      <c r="J16" s="9">
        <f>(F16+H16)*2.45%</f>
        <v>0</v>
      </c>
      <c r="K16" s="11"/>
      <c r="L16" s="11"/>
      <c r="M16" s="11"/>
      <c r="N16" s="11"/>
      <c r="O16" s="11"/>
      <c r="P16" s="11"/>
      <c r="Q16" s="11"/>
      <c r="R16" s="11"/>
      <c r="S16" s="9">
        <v>23000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>
        <f t="shared" si="1"/>
        <v>23000</v>
      </c>
      <c r="AE16" s="11">
        <f>F16+H16+I16+J16+P16+Z16+AD16</f>
        <v>23000</v>
      </c>
      <c r="AF16" s="20"/>
    </row>
    <row r="17" spans="1:32" ht="11.25">
      <c r="A17" s="46" t="s">
        <v>39</v>
      </c>
      <c r="B17" s="11"/>
      <c r="C17" s="11"/>
      <c r="D17" s="11"/>
      <c r="E17" s="11">
        <f t="shared" si="0"/>
        <v>0</v>
      </c>
      <c r="F17" s="11"/>
      <c r="G17" s="11"/>
      <c r="H17" s="11"/>
      <c r="I17" s="9">
        <f>(F17+H17)*15.4%</f>
        <v>0</v>
      </c>
      <c r="J17" s="9">
        <f>(F17+H17)*2.45%</f>
        <v>0</v>
      </c>
      <c r="K17" s="11"/>
      <c r="L17" s="11"/>
      <c r="M17" s="9">
        <v>20000</v>
      </c>
      <c r="N17" s="11"/>
      <c r="O17" s="11"/>
      <c r="P17" s="11"/>
      <c r="Q17" s="9">
        <v>4000</v>
      </c>
      <c r="R17" s="11"/>
      <c r="S17" s="9">
        <v>4300</v>
      </c>
      <c r="T17" s="11"/>
      <c r="U17" s="11"/>
      <c r="V17" s="11"/>
      <c r="W17" s="11"/>
      <c r="X17" s="11"/>
      <c r="Y17" s="11">
        <v>3500</v>
      </c>
      <c r="Z17" s="11"/>
      <c r="AA17" s="11"/>
      <c r="AB17" s="11"/>
      <c r="AC17" s="11"/>
      <c r="AD17" s="11">
        <f t="shared" si="1"/>
        <v>31800</v>
      </c>
      <c r="AE17" s="11">
        <f>F17+H17+I17+J17+P17+Z17+AD17</f>
        <v>31800</v>
      </c>
      <c r="AF17" s="20"/>
    </row>
    <row r="18" spans="1:32" ht="11.25">
      <c r="A18" s="47" t="s">
        <v>40</v>
      </c>
      <c r="B18" s="11">
        <f>SUM(B14:B17)</f>
        <v>0</v>
      </c>
      <c r="C18" s="11">
        <f>SUM(C14:C17)</f>
        <v>0</v>
      </c>
      <c r="D18" s="11">
        <f>SUM(D14:D17)</f>
        <v>0</v>
      </c>
      <c r="E18" s="11">
        <f t="shared" si="0"/>
        <v>0</v>
      </c>
      <c r="F18" s="11">
        <f aca="true" t="shared" si="5" ref="F18:AC18">SUM(F14:F17)</f>
        <v>0</v>
      </c>
      <c r="G18" s="11">
        <f t="shared" si="5"/>
        <v>0</v>
      </c>
      <c r="H18" s="11">
        <f t="shared" si="5"/>
        <v>0</v>
      </c>
      <c r="I18" s="11">
        <f t="shared" si="5"/>
        <v>0</v>
      </c>
      <c r="J18" s="11">
        <f t="shared" si="5"/>
        <v>0</v>
      </c>
      <c r="K18" s="11">
        <f t="shared" si="5"/>
        <v>0</v>
      </c>
      <c r="L18" s="11">
        <f t="shared" si="5"/>
        <v>0</v>
      </c>
      <c r="M18" s="11">
        <f t="shared" si="5"/>
        <v>20000</v>
      </c>
      <c r="N18" s="11">
        <f t="shared" si="5"/>
        <v>0</v>
      </c>
      <c r="O18" s="11">
        <f t="shared" si="5"/>
        <v>0</v>
      </c>
      <c r="P18" s="11">
        <f t="shared" si="5"/>
        <v>0</v>
      </c>
      <c r="Q18" s="11">
        <f t="shared" si="5"/>
        <v>4000</v>
      </c>
      <c r="R18" s="11">
        <f t="shared" si="5"/>
        <v>0</v>
      </c>
      <c r="S18" s="11">
        <f t="shared" si="5"/>
        <v>58280</v>
      </c>
      <c r="T18" s="11">
        <f t="shared" si="5"/>
        <v>0</v>
      </c>
      <c r="U18" s="11">
        <f t="shared" si="5"/>
        <v>0</v>
      </c>
      <c r="V18" s="11">
        <f t="shared" si="5"/>
        <v>0</v>
      </c>
      <c r="W18" s="11">
        <f t="shared" si="5"/>
        <v>0</v>
      </c>
      <c r="X18" s="11">
        <f t="shared" si="5"/>
        <v>0</v>
      </c>
      <c r="Y18" s="11">
        <f t="shared" si="5"/>
        <v>3500</v>
      </c>
      <c r="Z18" s="11">
        <f t="shared" si="5"/>
        <v>0</v>
      </c>
      <c r="AA18" s="11">
        <f t="shared" si="5"/>
        <v>0</v>
      </c>
      <c r="AB18" s="11">
        <f t="shared" si="5"/>
        <v>0</v>
      </c>
      <c r="AC18" s="11">
        <f t="shared" si="5"/>
        <v>0</v>
      </c>
      <c r="AD18" s="11">
        <f t="shared" si="1"/>
        <v>85780</v>
      </c>
      <c r="AE18" s="11">
        <f>SUM(AE14:AE17)</f>
        <v>85780</v>
      </c>
      <c r="AF18" s="20"/>
    </row>
    <row r="19" spans="1:32" ht="11.25">
      <c r="A19" s="46" t="s">
        <v>134</v>
      </c>
      <c r="B19" s="8">
        <v>399</v>
      </c>
      <c r="C19" s="9">
        <v>2000</v>
      </c>
      <c r="D19" s="9">
        <v>4607</v>
      </c>
      <c r="E19" s="9">
        <f t="shared" si="0"/>
        <v>6607</v>
      </c>
      <c r="F19" s="9">
        <f>2188912-50000-50000</f>
        <v>2088912</v>
      </c>
      <c r="G19" s="9"/>
      <c r="H19" s="9">
        <v>172973</v>
      </c>
      <c r="I19" s="9">
        <f aca="true" t="shared" si="6" ref="I19:I32">(F19+H19)*15.4%</f>
        <v>348330.29</v>
      </c>
      <c r="J19" s="9">
        <f aca="true" t="shared" si="7" ref="J19:J32">(F19+H19)*2.45%</f>
        <v>55416.1825</v>
      </c>
      <c r="K19" s="9">
        <v>4800</v>
      </c>
      <c r="L19" s="9">
        <v>40000</v>
      </c>
      <c r="M19" s="9">
        <v>28000</v>
      </c>
      <c r="N19" s="9">
        <v>0</v>
      </c>
      <c r="O19" s="9">
        <v>2000</v>
      </c>
      <c r="P19" s="9">
        <v>174250</v>
      </c>
      <c r="Q19" s="9">
        <v>33340</v>
      </c>
      <c r="R19" s="9">
        <v>2780</v>
      </c>
      <c r="S19" s="9">
        <f>127618-3500-5980</f>
        <v>118138</v>
      </c>
      <c r="T19" s="9">
        <v>1320</v>
      </c>
      <c r="U19" s="9">
        <v>0</v>
      </c>
      <c r="V19" s="9">
        <v>4500</v>
      </c>
      <c r="W19" s="9">
        <v>0</v>
      </c>
      <c r="X19" s="9">
        <v>1000</v>
      </c>
      <c r="Y19" s="9">
        <v>3500</v>
      </c>
      <c r="Z19" s="9">
        <v>116703</v>
      </c>
      <c r="AA19" s="9">
        <v>1356</v>
      </c>
      <c r="AB19" s="9">
        <v>0</v>
      </c>
      <c r="AC19" s="11"/>
      <c r="AD19" s="11">
        <f t="shared" si="1"/>
        <v>247341</v>
      </c>
      <c r="AE19" s="11">
        <f aca="true" t="shared" si="8" ref="AE19:AE33">F19+H19+I19+J19+P19+Z19+AD19</f>
        <v>3203925.4725</v>
      </c>
      <c r="AF19" s="20">
        <f aca="true" t="shared" si="9" ref="AF19:AF31">(AE19-Q19)/12/B19</f>
        <v>662.194125417711</v>
      </c>
    </row>
    <row r="20" spans="1:32" ht="11.25">
      <c r="A20" s="46" t="s">
        <v>135</v>
      </c>
      <c r="B20" s="8">
        <v>602</v>
      </c>
      <c r="C20" s="9">
        <v>3500</v>
      </c>
      <c r="D20" s="9">
        <v>5671</v>
      </c>
      <c r="E20" s="9">
        <f t="shared" si="0"/>
        <v>9171</v>
      </c>
      <c r="F20" s="9">
        <f>2484146-50000-50000</f>
        <v>2384146</v>
      </c>
      <c r="G20" s="9"/>
      <c r="H20" s="9">
        <v>192225</v>
      </c>
      <c r="I20" s="9">
        <f t="shared" si="6"/>
        <v>396761.134</v>
      </c>
      <c r="J20" s="9">
        <f t="shared" si="7"/>
        <v>63121.0895</v>
      </c>
      <c r="K20" s="9">
        <v>17100</v>
      </c>
      <c r="L20" s="9">
        <v>0</v>
      </c>
      <c r="M20" s="9">
        <f>21816+2000</f>
        <v>23816</v>
      </c>
      <c r="N20" s="9">
        <v>0</v>
      </c>
      <c r="O20" s="9">
        <v>15000</v>
      </c>
      <c r="P20" s="9">
        <v>207870</v>
      </c>
      <c r="Q20" s="9">
        <v>50000</v>
      </c>
      <c r="R20" s="9">
        <v>5200</v>
      </c>
      <c r="S20" s="9">
        <v>20000</v>
      </c>
      <c r="T20" s="9">
        <v>1900</v>
      </c>
      <c r="U20" s="9">
        <v>1600</v>
      </c>
      <c r="V20" s="9">
        <v>2000</v>
      </c>
      <c r="W20" s="9">
        <v>0</v>
      </c>
      <c r="X20" s="9">
        <v>1000</v>
      </c>
      <c r="Y20" s="9">
        <v>0</v>
      </c>
      <c r="Z20" s="9">
        <v>136371</v>
      </c>
      <c r="AA20" s="9">
        <v>0</v>
      </c>
      <c r="AB20" s="9">
        <v>0</v>
      </c>
      <c r="AC20" s="11"/>
      <c r="AD20" s="11">
        <f t="shared" si="1"/>
        <v>146787</v>
      </c>
      <c r="AE20" s="11">
        <f t="shared" si="8"/>
        <v>3527281.2235000003</v>
      </c>
      <c r="AF20" s="20">
        <f t="shared" si="9"/>
        <v>481.35122141472874</v>
      </c>
    </row>
    <row r="21" spans="1:32" ht="11.25">
      <c r="A21" s="46" t="s">
        <v>136</v>
      </c>
      <c r="B21" s="8">
        <v>546</v>
      </c>
      <c r="C21" s="9">
        <f>4866+135</f>
        <v>5001</v>
      </c>
      <c r="D21" s="9">
        <v>7867</v>
      </c>
      <c r="E21" s="9">
        <f t="shared" si="0"/>
        <v>12868</v>
      </c>
      <c r="F21" s="9">
        <f>3401896-50000-100000</f>
        <v>3251896</v>
      </c>
      <c r="G21" s="9"/>
      <c r="H21" s="9">
        <v>257934</v>
      </c>
      <c r="I21" s="9">
        <f t="shared" si="6"/>
        <v>540513.82</v>
      </c>
      <c r="J21" s="9">
        <f t="shared" si="7"/>
        <v>85990.835</v>
      </c>
      <c r="K21" s="9">
        <v>44200</v>
      </c>
      <c r="L21" s="9">
        <v>0</v>
      </c>
      <c r="M21" s="9">
        <v>8968</v>
      </c>
      <c r="N21" s="9">
        <v>0</v>
      </c>
      <c r="O21" s="9">
        <v>0</v>
      </c>
      <c r="P21" s="9">
        <v>239850</v>
      </c>
      <c r="Q21" s="9">
        <v>80000</v>
      </c>
      <c r="R21" s="9">
        <v>10000</v>
      </c>
      <c r="S21" s="9">
        <v>35098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38000</v>
      </c>
      <c r="Z21" s="9">
        <v>180683</v>
      </c>
      <c r="AA21" s="9">
        <v>0</v>
      </c>
      <c r="AB21" s="9">
        <v>0</v>
      </c>
      <c r="AC21" s="11"/>
      <c r="AD21" s="11">
        <f t="shared" si="1"/>
        <v>229134</v>
      </c>
      <c r="AE21" s="11">
        <f t="shared" si="8"/>
        <v>4786001.654999999</v>
      </c>
      <c r="AF21" s="20">
        <f t="shared" si="9"/>
        <v>718.2542208485958</v>
      </c>
    </row>
    <row r="22" spans="1:32" ht="11.25">
      <c r="A22" s="46" t="s">
        <v>41</v>
      </c>
      <c r="B22" s="8">
        <v>460</v>
      </c>
      <c r="C22" s="9">
        <v>1500</v>
      </c>
      <c r="D22" s="9">
        <v>4914</v>
      </c>
      <c r="E22" s="9">
        <f t="shared" si="0"/>
        <v>6414</v>
      </c>
      <c r="F22" s="9">
        <f>2219715-50000-50000</f>
        <v>2119715</v>
      </c>
      <c r="G22" s="9"/>
      <c r="H22" s="9">
        <v>173000</v>
      </c>
      <c r="I22" s="9">
        <f t="shared" si="6"/>
        <v>353078.11</v>
      </c>
      <c r="J22" s="9">
        <f t="shared" si="7"/>
        <v>56171.5175</v>
      </c>
      <c r="K22" s="9">
        <v>0</v>
      </c>
      <c r="L22" s="9">
        <v>20984</v>
      </c>
      <c r="M22" s="9">
        <v>31340</v>
      </c>
      <c r="N22" s="9">
        <v>0</v>
      </c>
      <c r="O22" s="9">
        <v>1500</v>
      </c>
      <c r="P22" s="9">
        <v>159215</v>
      </c>
      <c r="Q22" s="9">
        <v>30000</v>
      </c>
      <c r="R22" s="9">
        <v>3500</v>
      </c>
      <c r="S22" s="9">
        <f>27000+9000</f>
        <v>36000</v>
      </c>
      <c r="T22" s="9">
        <v>600</v>
      </c>
      <c r="U22" s="9">
        <v>0</v>
      </c>
      <c r="V22" s="9">
        <v>3500</v>
      </c>
      <c r="W22" s="9">
        <v>0</v>
      </c>
      <c r="X22" s="9">
        <v>700</v>
      </c>
      <c r="Y22" s="9">
        <v>600</v>
      </c>
      <c r="Z22" s="9">
        <v>113752</v>
      </c>
      <c r="AA22" s="9">
        <v>1000</v>
      </c>
      <c r="AB22" s="9">
        <v>0</v>
      </c>
      <c r="AC22" s="9"/>
      <c r="AD22" s="11">
        <f t="shared" si="1"/>
        <v>136138</v>
      </c>
      <c r="AE22" s="11">
        <f t="shared" si="8"/>
        <v>3111069.6275</v>
      </c>
      <c r="AF22" s="20">
        <f t="shared" si="9"/>
        <v>558.1647875905796</v>
      </c>
    </row>
    <row r="23" spans="1:32" ht="11.25">
      <c r="A23" s="46" t="s">
        <v>42</v>
      </c>
      <c r="B23" s="8">
        <v>300</v>
      </c>
      <c r="C23" s="9">
        <v>3000</v>
      </c>
      <c r="D23" s="9">
        <v>4503</v>
      </c>
      <c r="E23" s="9">
        <f t="shared" si="0"/>
        <v>7503</v>
      </c>
      <c r="F23" s="9">
        <f>1925789-50000-50000</f>
        <v>1825789</v>
      </c>
      <c r="G23" s="9"/>
      <c r="H23" s="9">
        <v>158312</v>
      </c>
      <c r="I23" s="9">
        <f t="shared" si="6"/>
        <v>305551.554</v>
      </c>
      <c r="J23" s="9">
        <f t="shared" si="7"/>
        <v>48610.474500000004</v>
      </c>
      <c r="K23" s="9">
        <v>0</v>
      </c>
      <c r="L23" s="9">
        <v>9840</v>
      </c>
      <c r="M23" s="9">
        <v>20152</v>
      </c>
      <c r="N23" s="9">
        <v>0</v>
      </c>
      <c r="O23" s="9">
        <v>2000</v>
      </c>
      <c r="P23" s="9">
        <v>89229</v>
      </c>
      <c r="Q23" s="9">
        <v>2000</v>
      </c>
      <c r="R23" s="9">
        <v>3000</v>
      </c>
      <c r="S23" s="9">
        <v>28537</v>
      </c>
      <c r="T23" s="9">
        <v>348</v>
      </c>
      <c r="U23" s="9">
        <v>0</v>
      </c>
      <c r="V23" s="9">
        <v>4600</v>
      </c>
      <c r="W23" s="9">
        <v>0</v>
      </c>
      <c r="X23" s="9">
        <v>400</v>
      </c>
      <c r="Y23" s="9">
        <v>5000</v>
      </c>
      <c r="Z23" s="9">
        <v>108501</v>
      </c>
      <c r="AA23" s="9">
        <v>500</v>
      </c>
      <c r="AB23" s="9">
        <v>0</v>
      </c>
      <c r="AC23" s="11"/>
      <c r="AD23" s="11">
        <f t="shared" si="1"/>
        <v>83880</v>
      </c>
      <c r="AE23" s="11">
        <f t="shared" si="8"/>
        <v>2619873.0285</v>
      </c>
      <c r="AF23" s="20">
        <f t="shared" si="9"/>
        <v>727.1869523611111</v>
      </c>
    </row>
    <row r="24" spans="1:32" ht="11.25">
      <c r="A24" s="46" t="s">
        <v>43</v>
      </c>
      <c r="B24" s="8">
        <v>576</v>
      </c>
      <c r="C24" s="9">
        <v>3000</v>
      </c>
      <c r="D24" s="9">
        <v>6247</v>
      </c>
      <c r="E24" s="9">
        <f t="shared" si="0"/>
        <v>9247</v>
      </c>
      <c r="F24" s="9">
        <f>2560926-50000-50000</f>
        <v>2460926</v>
      </c>
      <c r="G24" s="9"/>
      <c r="H24" s="9">
        <v>189464</v>
      </c>
      <c r="I24" s="9">
        <f t="shared" si="6"/>
        <v>408160.06</v>
      </c>
      <c r="J24" s="9">
        <f t="shared" si="7"/>
        <v>64934.555</v>
      </c>
      <c r="K24" s="9">
        <v>0</v>
      </c>
      <c r="L24" s="9">
        <v>0</v>
      </c>
      <c r="M24" s="9">
        <v>30000</v>
      </c>
      <c r="N24" s="9">
        <v>0</v>
      </c>
      <c r="O24" s="9">
        <v>1500</v>
      </c>
      <c r="P24" s="9">
        <v>109759</v>
      </c>
      <c r="Q24" s="9">
        <f>4000+30000+1000</f>
        <v>35000</v>
      </c>
      <c r="R24" s="9">
        <v>2000</v>
      </c>
      <c r="S24" s="9">
        <v>26770</v>
      </c>
      <c r="T24" s="9">
        <v>2000</v>
      </c>
      <c r="U24" s="9">
        <v>0</v>
      </c>
      <c r="V24" s="9">
        <v>3200</v>
      </c>
      <c r="W24" s="9">
        <v>0</v>
      </c>
      <c r="X24" s="9">
        <v>2500</v>
      </c>
      <c r="Y24" s="9">
        <v>4700</v>
      </c>
      <c r="Z24" s="9">
        <v>140925</v>
      </c>
      <c r="AA24" s="9">
        <v>2000</v>
      </c>
      <c r="AB24" s="9">
        <v>0</v>
      </c>
      <c r="AC24" s="11"/>
      <c r="AD24" s="11">
        <f t="shared" si="1"/>
        <v>118917</v>
      </c>
      <c r="AE24" s="11">
        <f t="shared" si="8"/>
        <v>3493085.615</v>
      </c>
      <c r="AF24" s="20">
        <f t="shared" si="9"/>
        <v>500.30173828125004</v>
      </c>
    </row>
    <row r="25" spans="1:32" ht="11.25">
      <c r="A25" s="46" t="s">
        <v>137</v>
      </c>
      <c r="B25" s="8">
        <v>167</v>
      </c>
      <c r="C25" s="9">
        <v>1500</v>
      </c>
      <c r="D25" s="9">
        <v>2206</v>
      </c>
      <c r="E25" s="9">
        <f t="shared" si="0"/>
        <v>3706</v>
      </c>
      <c r="F25" s="9">
        <f>901419-50000</f>
        <v>851419</v>
      </c>
      <c r="G25" s="9"/>
      <c r="H25" s="9">
        <v>74723</v>
      </c>
      <c r="I25" s="9">
        <f t="shared" si="6"/>
        <v>142625.868</v>
      </c>
      <c r="J25" s="9">
        <f t="shared" si="7"/>
        <v>22690.479</v>
      </c>
      <c r="K25" s="9">
        <v>8500</v>
      </c>
      <c r="L25" s="9">
        <v>1000</v>
      </c>
      <c r="M25" s="9">
        <v>7000</v>
      </c>
      <c r="N25" s="9">
        <v>0</v>
      </c>
      <c r="O25" s="9">
        <v>2000</v>
      </c>
      <c r="P25" s="9">
        <v>49991</v>
      </c>
      <c r="Q25" s="9">
        <f>4000+40000</f>
        <v>44000</v>
      </c>
      <c r="R25" s="9">
        <v>2000</v>
      </c>
      <c r="S25" s="9">
        <v>2000</v>
      </c>
      <c r="T25" s="9">
        <v>500</v>
      </c>
      <c r="U25" s="9">
        <v>600</v>
      </c>
      <c r="V25" s="9">
        <v>1000</v>
      </c>
      <c r="W25" s="9">
        <v>0</v>
      </c>
      <c r="X25" s="9">
        <v>448</v>
      </c>
      <c r="Y25" s="9">
        <v>1000</v>
      </c>
      <c r="Z25" s="9">
        <v>55443</v>
      </c>
      <c r="AA25" s="9">
        <v>1000</v>
      </c>
      <c r="AB25" s="9">
        <v>0</v>
      </c>
      <c r="AC25" s="11"/>
      <c r="AD25" s="11">
        <f t="shared" si="1"/>
        <v>74754</v>
      </c>
      <c r="AE25" s="11">
        <f t="shared" si="8"/>
        <v>1271646.347</v>
      </c>
      <c r="AF25" s="20">
        <f t="shared" si="9"/>
        <v>612.5979775449102</v>
      </c>
    </row>
    <row r="26" spans="1:32" ht="11.25">
      <c r="A26" s="46" t="s">
        <v>44</v>
      </c>
      <c r="B26" s="8">
        <v>491</v>
      </c>
      <c r="C26" s="9">
        <v>3000</v>
      </c>
      <c r="D26" s="9">
        <v>4898</v>
      </c>
      <c r="E26" s="9">
        <f t="shared" si="0"/>
        <v>7898</v>
      </c>
      <c r="F26" s="9">
        <f>2062311-50000-50000</f>
        <v>1962311</v>
      </c>
      <c r="G26" s="9"/>
      <c r="H26" s="9">
        <v>162636</v>
      </c>
      <c r="I26" s="9">
        <f t="shared" si="6"/>
        <v>327241.838</v>
      </c>
      <c r="J26" s="9">
        <f t="shared" si="7"/>
        <v>52061.2015</v>
      </c>
      <c r="K26" s="9">
        <v>0</v>
      </c>
      <c r="L26" s="9">
        <v>0</v>
      </c>
      <c r="M26" s="9">
        <v>21844</v>
      </c>
      <c r="N26" s="9">
        <v>0</v>
      </c>
      <c r="O26" s="9">
        <v>10500</v>
      </c>
      <c r="P26" s="9">
        <v>76875</v>
      </c>
      <c r="Q26" s="9">
        <f>5000+30000</f>
        <v>35000</v>
      </c>
      <c r="R26" s="9">
        <v>3500</v>
      </c>
      <c r="S26" s="9">
        <v>126810</v>
      </c>
      <c r="T26" s="9">
        <v>350</v>
      </c>
      <c r="U26" s="9">
        <v>0</v>
      </c>
      <c r="V26" s="9">
        <v>6800</v>
      </c>
      <c r="W26" s="9">
        <v>0</v>
      </c>
      <c r="X26" s="9">
        <v>500</v>
      </c>
      <c r="Y26" s="9">
        <v>900</v>
      </c>
      <c r="Z26" s="9">
        <v>117629</v>
      </c>
      <c r="AA26" s="9">
        <v>0</v>
      </c>
      <c r="AB26" s="9">
        <v>0</v>
      </c>
      <c r="AC26" s="11"/>
      <c r="AD26" s="11">
        <f t="shared" si="1"/>
        <v>214102</v>
      </c>
      <c r="AE26" s="11">
        <f t="shared" si="8"/>
        <v>2912856.0395</v>
      </c>
      <c r="AF26" s="20">
        <f t="shared" si="9"/>
        <v>488.43449414460287</v>
      </c>
    </row>
    <row r="27" spans="1:32" ht="11.25">
      <c r="A27" s="46" t="s">
        <v>45</v>
      </c>
      <c r="B27" s="8">
        <v>426</v>
      </c>
      <c r="C27" s="9">
        <v>1000</v>
      </c>
      <c r="D27" s="9">
        <v>4214</v>
      </c>
      <c r="E27" s="9">
        <f t="shared" si="0"/>
        <v>5214</v>
      </c>
      <c r="F27" s="9">
        <f>1815571-50000</f>
        <v>1765571</v>
      </c>
      <c r="G27" s="9"/>
      <c r="H27" s="9">
        <v>151610</v>
      </c>
      <c r="I27" s="9">
        <f t="shared" si="6"/>
        <v>295245.874</v>
      </c>
      <c r="J27" s="9">
        <f t="shared" si="7"/>
        <v>46970.9345</v>
      </c>
      <c r="K27" s="9">
        <v>16900</v>
      </c>
      <c r="L27" s="9">
        <v>0</v>
      </c>
      <c r="M27" s="9">
        <f>20044+2000</f>
        <v>22044</v>
      </c>
      <c r="N27" s="9">
        <v>0</v>
      </c>
      <c r="O27" s="9">
        <v>9000</v>
      </c>
      <c r="P27" s="9">
        <v>135915</v>
      </c>
      <c r="Q27" s="9">
        <f>10000+50000</f>
        <v>60000</v>
      </c>
      <c r="R27" s="9">
        <v>2000</v>
      </c>
      <c r="S27" s="9">
        <v>25000</v>
      </c>
      <c r="T27" s="9">
        <v>600</v>
      </c>
      <c r="U27" s="9">
        <v>0</v>
      </c>
      <c r="V27" s="9">
        <v>700</v>
      </c>
      <c r="W27" s="9">
        <v>0</v>
      </c>
      <c r="X27" s="9">
        <v>0</v>
      </c>
      <c r="Y27" s="9">
        <v>0</v>
      </c>
      <c r="Z27" s="9">
        <v>104399</v>
      </c>
      <c r="AA27" s="9">
        <v>0</v>
      </c>
      <c r="AB27" s="9">
        <v>0</v>
      </c>
      <c r="AC27" s="11"/>
      <c r="AD27" s="11">
        <f t="shared" si="1"/>
        <v>141458</v>
      </c>
      <c r="AE27" s="11">
        <f t="shared" si="8"/>
        <v>2641169.8085</v>
      </c>
      <c r="AF27" s="20">
        <f t="shared" si="9"/>
        <v>504.9236714593114</v>
      </c>
    </row>
    <row r="28" spans="1:32" ht="11.25">
      <c r="A28" s="46" t="s">
        <v>58</v>
      </c>
      <c r="B28" s="8">
        <v>216</v>
      </c>
      <c r="C28" s="9">
        <v>800</v>
      </c>
      <c r="D28" s="9">
        <v>2591</v>
      </c>
      <c r="E28" s="9">
        <f t="shared" si="0"/>
        <v>3391</v>
      </c>
      <c r="F28" s="9">
        <f>1159896-50000</f>
        <v>1109896</v>
      </c>
      <c r="G28" s="9"/>
      <c r="H28" s="9">
        <v>104701</v>
      </c>
      <c r="I28" s="9">
        <f t="shared" si="6"/>
        <v>187047.938</v>
      </c>
      <c r="J28" s="9">
        <f t="shared" si="7"/>
        <v>29757.626500000002</v>
      </c>
      <c r="K28" s="9">
        <v>0</v>
      </c>
      <c r="L28" s="9">
        <v>0</v>
      </c>
      <c r="M28" s="9">
        <v>6786</v>
      </c>
      <c r="N28" s="9">
        <v>0</v>
      </c>
      <c r="O28" s="9">
        <v>2000</v>
      </c>
      <c r="P28" s="9">
        <v>110238</v>
      </c>
      <c r="Q28" s="9">
        <v>0</v>
      </c>
      <c r="R28" s="9">
        <v>2500</v>
      </c>
      <c r="S28" s="9">
        <v>7927</v>
      </c>
      <c r="T28" s="9">
        <v>1000</v>
      </c>
      <c r="U28" s="9">
        <v>0</v>
      </c>
      <c r="V28" s="9">
        <v>1800</v>
      </c>
      <c r="W28" s="9">
        <v>0</v>
      </c>
      <c r="X28" s="9">
        <v>1000</v>
      </c>
      <c r="Y28" s="9">
        <v>2000</v>
      </c>
      <c r="Z28" s="9">
        <v>58505</v>
      </c>
      <c r="AA28" s="9">
        <v>1000</v>
      </c>
      <c r="AB28" s="9">
        <v>0</v>
      </c>
      <c r="AC28" s="11"/>
      <c r="AD28" s="11">
        <f t="shared" si="1"/>
        <v>29404</v>
      </c>
      <c r="AE28" s="11">
        <f t="shared" si="8"/>
        <v>1629549.5645</v>
      </c>
      <c r="AF28" s="20">
        <f t="shared" si="9"/>
        <v>628.6842455632716</v>
      </c>
    </row>
    <row r="29" spans="1:32" ht="11.25">
      <c r="A29" s="46" t="s">
        <v>138</v>
      </c>
      <c r="B29" s="8">
        <v>310</v>
      </c>
      <c r="C29" s="9">
        <v>3220</v>
      </c>
      <c r="D29" s="9">
        <v>5117</v>
      </c>
      <c r="E29" s="9">
        <f t="shared" si="0"/>
        <v>8337</v>
      </c>
      <c r="F29" s="9">
        <f>2092862-50000-50000</f>
        <v>1992862</v>
      </c>
      <c r="G29" s="9"/>
      <c r="H29" s="9">
        <v>158292</v>
      </c>
      <c r="I29" s="9">
        <f t="shared" si="6"/>
        <v>331277.716</v>
      </c>
      <c r="J29" s="9">
        <f t="shared" si="7"/>
        <v>52703.273</v>
      </c>
      <c r="K29" s="9">
        <v>0</v>
      </c>
      <c r="L29" s="9">
        <v>0</v>
      </c>
      <c r="M29" s="9">
        <v>15000</v>
      </c>
      <c r="N29" s="9">
        <v>0</v>
      </c>
      <c r="O29" s="9">
        <v>3500</v>
      </c>
      <c r="P29" s="9">
        <v>164091</v>
      </c>
      <c r="Q29" s="9">
        <f>1500+105000</f>
        <v>106500</v>
      </c>
      <c r="R29" s="9">
        <v>3000</v>
      </c>
      <c r="S29" s="9">
        <v>14419</v>
      </c>
      <c r="T29" s="9">
        <v>200</v>
      </c>
      <c r="U29" s="9">
        <v>0</v>
      </c>
      <c r="V29" s="9">
        <v>5000</v>
      </c>
      <c r="W29" s="9">
        <v>0</v>
      </c>
      <c r="X29" s="9">
        <v>300</v>
      </c>
      <c r="Y29" s="9">
        <v>0</v>
      </c>
      <c r="Z29" s="9">
        <v>122112</v>
      </c>
      <c r="AA29" s="9">
        <v>0</v>
      </c>
      <c r="AB29" s="9">
        <v>0</v>
      </c>
      <c r="AC29" s="11"/>
      <c r="AD29" s="11">
        <f t="shared" si="1"/>
        <v>156256</v>
      </c>
      <c r="AE29" s="11">
        <f t="shared" si="8"/>
        <v>2977593.989</v>
      </c>
      <c r="AF29" s="20">
        <f t="shared" si="9"/>
        <v>771.7994594086022</v>
      </c>
    </row>
    <row r="30" spans="1:32" ht="11.25">
      <c r="A30" s="46" t="s">
        <v>139</v>
      </c>
      <c r="B30" s="8">
        <v>482</v>
      </c>
      <c r="C30" s="9">
        <v>2000</v>
      </c>
      <c r="D30" s="9">
        <v>4899</v>
      </c>
      <c r="E30" s="9">
        <f t="shared" si="0"/>
        <v>6899</v>
      </c>
      <c r="F30" s="9">
        <f>2170860-50000-50000</f>
        <v>2070860</v>
      </c>
      <c r="G30" s="9"/>
      <c r="H30" s="9">
        <v>179583</v>
      </c>
      <c r="I30" s="9">
        <f t="shared" si="6"/>
        <v>346568.222</v>
      </c>
      <c r="J30" s="9">
        <f t="shared" si="7"/>
        <v>55135.853500000005</v>
      </c>
      <c r="K30" s="9">
        <v>0</v>
      </c>
      <c r="L30" s="9">
        <v>1000</v>
      </c>
      <c r="M30" s="9">
        <v>17180</v>
      </c>
      <c r="N30" s="9">
        <v>0</v>
      </c>
      <c r="O30" s="9">
        <f>5000+1500</f>
        <v>6500</v>
      </c>
      <c r="P30" s="9">
        <v>125348</v>
      </c>
      <c r="Q30" s="9">
        <f>2000+60000</f>
        <v>62000</v>
      </c>
      <c r="R30" s="9">
        <v>2400</v>
      </c>
      <c r="S30" s="9">
        <v>15416</v>
      </c>
      <c r="T30" s="9">
        <v>1020</v>
      </c>
      <c r="U30" s="9">
        <v>240</v>
      </c>
      <c r="V30" s="9">
        <v>3000</v>
      </c>
      <c r="W30" s="9">
        <v>0</v>
      </c>
      <c r="X30" s="9">
        <v>1800</v>
      </c>
      <c r="Y30" s="9">
        <v>1000</v>
      </c>
      <c r="Z30" s="9">
        <v>119588</v>
      </c>
      <c r="AA30" s="9">
        <v>0</v>
      </c>
      <c r="AB30" s="9">
        <v>3000</v>
      </c>
      <c r="AC30" s="11"/>
      <c r="AD30" s="11">
        <f t="shared" si="1"/>
        <v>121455</v>
      </c>
      <c r="AE30" s="11">
        <f t="shared" si="8"/>
        <v>3018538.0755000003</v>
      </c>
      <c r="AF30" s="20">
        <f t="shared" si="9"/>
        <v>511.15803518326425</v>
      </c>
    </row>
    <row r="31" spans="1:32" ht="11.25">
      <c r="A31" s="46" t="s">
        <v>46</v>
      </c>
      <c r="B31" s="8">
        <v>389</v>
      </c>
      <c r="C31" s="9">
        <v>0</v>
      </c>
      <c r="D31" s="9">
        <v>1729</v>
      </c>
      <c r="E31" s="9">
        <f t="shared" si="0"/>
        <v>1729</v>
      </c>
      <c r="F31" s="9">
        <f>691913</f>
        <v>691913</v>
      </c>
      <c r="G31" s="9"/>
      <c r="H31" s="9">
        <v>44900</v>
      </c>
      <c r="I31" s="9">
        <f t="shared" si="6"/>
        <v>113469.202</v>
      </c>
      <c r="J31" s="9">
        <f t="shared" si="7"/>
        <v>18051.9185</v>
      </c>
      <c r="K31" s="9">
        <v>0</v>
      </c>
      <c r="L31" s="9">
        <v>0</v>
      </c>
      <c r="M31" s="9">
        <v>27000</v>
      </c>
      <c r="N31" s="9">
        <v>0</v>
      </c>
      <c r="O31" s="9">
        <f>4000+1000</f>
        <v>5000</v>
      </c>
      <c r="P31" s="9">
        <v>20167</v>
      </c>
      <c r="Q31" s="9">
        <v>20000</v>
      </c>
      <c r="R31" s="9">
        <v>1000</v>
      </c>
      <c r="S31" s="9">
        <f>14648+2000</f>
        <v>16648</v>
      </c>
      <c r="T31" s="9">
        <v>1000</v>
      </c>
      <c r="U31" s="9">
        <v>0</v>
      </c>
      <c r="V31" s="9">
        <v>3700</v>
      </c>
      <c r="W31" s="9">
        <v>0</v>
      </c>
      <c r="X31" s="9">
        <v>0</v>
      </c>
      <c r="Y31" s="9">
        <v>0</v>
      </c>
      <c r="Z31" s="9">
        <v>41414</v>
      </c>
      <c r="AA31" s="9">
        <v>0</v>
      </c>
      <c r="AB31" s="9">
        <v>0</v>
      </c>
      <c r="AC31" s="11"/>
      <c r="AD31" s="11">
        <f t="shared" si="1"/>
        <v>76077</v>
      </c>
      <c r="AE31" s="11">
        <f t="shared" si="8"/>
        <v>1005992.1205000001</v>
      </c>
      <c r="AF31" s="20">
        <f t="shared" si="9"/>
        <v>211.22367619965723</v>
      </c>
    </row>
    <row r="32" spans="1:32" ht="11.25" hidden="1">
      <c r="A32" s="46" t="s">
        <v>47</v>
      </c>
      <c r="B32" s="8"/>
      <c r="C32" s="9"/>
      <c r="D32" s="9"/>
      <c r="E32" s="9">
        <f t="shared" si="0"/>
        <v>0</v>
      </c>
      <c r="F32" s="9"/>
      <c r="G32" s="9"/>
      <c r="H32" s="9"/>
      <c r="I32" s="9">
        <f t="shared" si="6"/>
        <v>0</v>
      </c>
      <c r="J32" s="9">
        <f t="shared" si="7"/>
        <v>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1"/>
      <c r="AC32" s="11"/>
      <c r="AD32" s="11">
        <f t="shared" si="1"/>
        <v>0</v>
      </c>
      <c r="AE32" s="11">
        <f t="shared" si="8"/>
        <v>0</v>
      </c>
      <c r="AF32" s="20"/>
    </row>
    <row r="33" spans="1:32" ht="11.25">
      <c r="A33" s="46" t="s">
        <v>48</v>
      </c>
      <c r="B33" s="8"/>
      <c r="C33" s="9"/>
      <c r="D33" s="9"/>
      <c r="E33" s="9">
        <f t="shared" si="0"/>
        <v>0</v>
      </c>
      <c r="F33" s="9">
        <v>108000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11"/>
      <c r="AC33" s="11"/>
      <c r="AD33" s="11">
        <f t="shared" si="1"/>
        <v>0</v>
      </c>
      <c r="AE33" s="11">
        <f t="shared" si="8"/>
        <v>108000</v>
      </c>
      <c r="AF33" s="20"/>
    </row>
    <row r="34" spans="1:32" ht="11.25">
      <c r="A34" s="47" t="s">
        <v>49</v>
      </c>
      <c r="B34" s="11">
        <f>SUM(B19:B33)</f>
        <v>5364</v>
      </c>
      <c r="C34" s="11">
        <f>SUM(C19:C33)</f>
        <v>29521</v>
      </c>
      <c r="D34" s="11">
        <f>SUM(D19:D33)</f>
        <v>59463</v>
      </c>
      <c r="E34" s="11">
        <f t="shared" si="0"/>
        <v>88984</v>
      </c>
      <c r="F34" s="11">
        <f aca="true" t="shared" si="10" ref="F34:AC34">SUM(F19:F33)</f>
        <v>24684216</v>
      </c>
      <c r="G34" s="11">
        <f t="shared" si="10"/>
        <v>0</v>
      </c>
      <c r="H34" s="11">
        <f t="shared" si="10"/>
        <v>2020353</v>
      </c>
      <c r="I34" s="11">
        <f t="shared" si="10"/>
        <v>4095871.6259999997</v>
      </c>
      <c r="J34" s="11">
        <f t="shared" si="10"/>
        <v>651615.9405000001</v>
      </c>
      <c r="K34" s="11">
        <f t="shared" si="10"/>
        <v>91500</v>
      </c>
      <c r="L34" s="11">
        <f t="shared" si="10"/>
        <v>72824</v>
      </c>
      <c r="M34" s="11">
        <f t="shared" si="10"/>
        <v>259130</v>
      </c>
      <c r="N34" s="11">
        <f t="shared" si="10"/>
        <v>0</v>
      </c>
      <c r="O34" s="11">
        <f t="shared" si="10"/>
        <v>60500</v>
      </c>
      <c r="P34" s="11">
        <f t="shared" si="10"/>
        <v>1662798</v>
      </c>
      <c r="Q34" s="11">
        <f t="shared" si="10"/>
        <v>557840</v>
      </c>
      <c r="R34" s="11">
        <f t="shared" si="10"/>
        <v>42880</v>
      </c>
      <c r="S34" s="11">
        <f t="shared" si="10"/>
        <v>472763</v>
      </c>
      <c r="T34" s="11">
        <f t="shared" si="10"/>
        <v>10838</v>
      </c>
      <c r="U34" s="11">
        <f t="shared" si="10"/>
        <v>2440</v>
      </c>
      <c r="V34" s="11">
        <f t="shared" si="10"/>
        <v>39800</v>
      </c>
      <c r="W34" s="11">
        <f t="shared" si="10"/>
        <v>0</v>
      </c>
      <c r="X34" s="11">
        <f t="shared" si="10"/>
        <v>9648</v>
      </c>
      <c r="Y34" s="11">
        <f t="shared" si="10"/>
        <v>56700</v>
      </c>
      <c r="Z34" s="11">
        <f t="shared" si="10"/>
        <v>1416025</v>
      </c>
      <c r="AA34" s="11">
        <f t="shared" si="10"/>
        <v>6856</v>
      </c>
      <c r="AB34" s="11">
        <f t="shared" si="10"/>
        <v>3000</v>
      </c>
      <c r="AC34" s="11">
        <f t="shared" si="10"/>
        <v>0</v>
      </c>
      <c r="AD34" s="11">
        <f t="shared" si="1"/>
        <v>1775703</v>
      </c>
      <c r="AE34" s="11">
        <f>SUM(AE19:AE33)</f>
        <v>36306582.5665</v>
      </c>
      <c r="AF34" s="20">
        <f aca="true" t="shared" si="11" ref="AF34:AF56">AE34/12/B34</f>
        <v>564.0470818807482</v>
      </c>
    </row>
    <row r="35" spans="1:32" s="19" customFormat="1" ht="11.25">
      <c r="A35" s="45" t="s">
        <v>31</v>
      </c>
      <c r="B35" s="9">
        <v>16</v>
      </c>
      <c r="C35" s="9">
        <v>0</v>
      </c>
      <c r="D35" s="9">
        <v>630</v>
      </c>
      <c r="E35" s="9">
        <f t="shared" si="0"/>
        <v>630</v>
      </c>
      <c r="F35" s="9">
        <v>309629</v>
      </c>
      <c r="G35" s="9"/>
      <c r="H35" s="9">
        <v>24700</v>
      </c>
      <c r="I35" s="9">
        <f>(F35+H35)*15.4%</f>
        <v>51486.666</v>
      </c>
      <c r="J35" s="9">
        <f>(F35+H35)*2.45%</f>
        <v>8191.0605000000005</v>
      </c>
      <c r="K35" s="9">
        <v>0</v>
      </c>
      <c r="L35" s="9">
        <v>0</v>
      </c>
      <c r="M35" s="9">
        <v>4984</v>
      </c>
      <c r="N35" s="9">
        <v>0</v>
      </c>
      <c r="O35" s="9">
        <v>304</v>
      </c>
      <c r="P35" s="9">
        <v>0</v>
      </c>
      <c r="Q35" s="9">
        <v>50000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13024</v>
      </c>
      <c r="AA35" s="9">
        <v>0</v>
      </c>
      <c r="AB35" s="11">
        <v>0</v>
      </c>
      <c r="AC35" s="11"/>
      <c r="AD35" s="11">
        <f t="shared" si="1"/>
        <v>55918</v>
      </c>
      <c r="AE35" s="11">
        <f>F35+H35+I35+J35+P35+Z35+AD35</f>
        <v>462948.7265</v>
      </c>
      <c r="AF35" s="20">
        <f t="shared" si="11"/>
        <v>2411.1912838541666</v>
      </c>
    </row>
    <row r="36" spans="1:32" s="19" customFormat="1" ht="11.25">
      <c r="A36" s="46" t="s">
        <v>50</v>
      </c>
      <c r="B36" s="9">
        <v>32</v>
      </c>
      <c r="C36" s="9">
        <v>300</v>
      </c>
      <c r="D36" s="9">
        <v>1074</v>
      </c>
      <c r="E36" s="9">
        <f aca="true" t="shared" si="12" ref="E36:E67">SUM(C36:D36)</f>
        <v>1374</v>
      </c>
      <c r="F36" s="9">
        <v>401014</v>
      </c>
      <c r="G36" s="9"/>
      <c r="H36" s="9">
        <v>25936</v>
      </c>
      <c r="I36" s="9">
        <f>(F36+H36)*15.4%</f>
        <v>65750.3</v>
      </c>
      <c r="J36" s="9">
        <f>(F36+H36)*2.45%</f>
        <v>10460.275</v>
      </c>
      <c r="K36" s="9">
        <v>0</v>
      </c>
      <c r="L36" s="9">
        <v>0</v>
      </c>
      <c r="M36" s="9">
        <v>3512</v>
      </c>
      <c r="N36" s="9">
        <v>0</v>
      </c>
      <c r="O36" s="9">
        <v>393</v>
      </c>
      <c r="P36" s="9">
        <v>0</v>
      </c>
      <c r="Q36" s="9">
        <v>0</v>
      </c>
      <c r="R36" s="9">
        <v>711</v>
      </c>
      <c r="S36" s="9">
        <v>156</v>
      </c>
      <c r="T36" s="9">
        <v>0</v>
      </c>
      <c r="U36" s="9">
        <v>0</v>
      </c>
      <c r="V36" s="9">
        <v>288</v>
      </c>
      <c r="W36" s="9">
        <v>0</v>
      </c>
      <c r="X36" s="9">
        <v>0</v>
      </c>
      <c r="Y36" s="9">
        <v>0</v>
      </c>
      <c r="Z36" s="9">
        <v>23115</v>
      </c>
      <c r="AA36" s="9">
        <v>400</v>
      </c>
      <c r="AB36" s="11">
        <v>0</v>
      </c>
      <c r="AC36" s="11"/>
      <c r="AD36" s="11">
        <f aca="true" t="shared" si="13" ref="AD36:AD67">AB36+AA36+Y36+X36+W36+V36+U36+T36+S36+R36+Q36+O36+M36+L36+C36+D36+K36+AC36</f>
        <v>6834</v>
      </c>
      <c r="AE36" s="11">
        <f>F36+H36+I36+J36+P36+Z36+AD36</f>
        <v>533109.575</v>
      </c>
      <c r="AF36" s="20">
        <f t="shared" si="11"/>
        <v>1388.3061848958332</v>
      </c>
    </row>
    <row r="37" spans="1:32" s="19" customFormat="1" ht="11.25">
      <c r="A37" s="47" t="s">
        <v>51</v>
      </c>
      <c r="B37" s="11">
        <f>B35+B36</f>
        <v>48</v>
      </c>
      <c r="C37" s="11">
        <f>C35+C36</f>
        <v>300</v>
      </c>
      <c r="D37" s="11">
        <f>D35+D36</f>
        <v>1704</v>
      </c>
      <c r="E37" s="11">
        <f t="shared" si="12"/>
        <v>2004</v>
      </c>
      <c r="F37" s="11">
        <f aca="true" t="shared" si="14" ref="F37:AC37">F35+F36</f>
        <v>710643</v>
      </c>
      <c r="G37" s="11">
        <f t="shared" si="14"/>
        <v>0</v>
      </c>
      <c r="H37" s="11">
        <f t="shared" si="14"/>
        <v>50636</v>
      </c>
      <c r="I37" s="11">
        <f t="shared" si="14"/>
        <v>117236.966</v>
      </c>
      <c r="J37" s="11">
        <f t="shared" si="14"/>
        <v>18651.3355</v>
      </c>
      <c r="K37" s="11">
        <f t="shared" si="14"/>
        <v>0</v>
      </c>
      <c r="L37" s="11">
        <f t="shared" si="14"/>
        <v>0</v>
      </c>
      <c r="M37" s="11">
        <f t="shared" si="14"/>
        <v>8496</v>
      </c>
      <c r="N37" s="11">
        <f t="shared" si="14"/>
        <v>0</v>
      </c>
      <c r="O37" s="11">
        <f t="shared" si="14"/>
        <v>697</v>
      </c>
      <c r="P37" s="11">
        <f t="shared" si="14"/>
        <v>0</v>
      </c>
      <c r="Q37" s="11">
        <f t="shared" si="14"/>
        <v>50000</v>
      </c>
      <c r="R37" s="11">
        <f t="shared" si="14"/>
        <v>711</v>
      </c>
      <c r="S37" s="11">
        <f t="shared" si="14"/>
        <v>156</v>
      </c>
      <c r="T37" s="11">
        <f t="shared" si="14"/>
        <v>0</v>
      </c>
      <c r="U37" s="11">
        <f t="shared" si="14"/>
        <v>0</v>
      </c>
      <c r="V37" s="11">
        <f t="shared" si="14"/>
        <v>288</v>
      </c>
      <c r="W37" s="11">
        <f t="shared" si="14"/>
        <v>0</v>
      </c>
      <c r="X37" s="11">
        <f t="shared" si="14"/>
        <v>0</v>
      </c>
      <c r="Y37" s="11">
        <f t="shared" si="14"/>
        <v>0</v>
      </c>
      <c r="Z37" s="11">
        <f t="shared" si="14"/>
        <v>36139</v>
      </c>
      <c r="AA37" s="11">
        <f t="shared" si="14"/>
        <v>400</v>
      </c>
      <c r="AB37" s="11">
        <f t="shared" si="14"/>
        <v>0</v>
      </c>
      <c r="AC37" s="11">
        <f t="shared" si="14"/>
        <v>0</v>
      </c>
      <c r="AD37" s="11">
        <f t="shared" si="13"/>
        <v>62752</v>
      </c>
      <c r="AE37" s="11">
        <f>AE35+AE36</f>
        <v>996058.3015</v>
      </c>
      <c r="AF37" s="20">
        <f t="shared" si="11"/>
        <v>1729.267884548611</v>
      </c>
    </row>
    <row r="38" spans="1:32" ht="11.25">
      <c r="A38" s="46" t="s">
        <v>52</v>
      </c>
      <c r="B38" s="8">
        <v>150</v>
      </c>
      <c r="C38" s="9">
        <v>0</v>
      </c>
      <c r="D38" s="9">
        <v>2051</v>
      </c>
      <c r="E38" s="9">
        <f t="shared" si="12"/>
        <v>2051</v>
      </c>
      <c r="F38" s="9">
        <f>954289-50000</f>
        <v>904289</v>
      </c>
      <c r="G38" s="9"/>
      <c r="H38" s="9">
        <v>74759</v>
      </c>
      <c r="I38" s="9">
        <f>(F38+H38)*15.4%</f>
        <v>150773.392</v>
      </c>
      <c r="J38" s="9">
        <f>(F38+H38)*2.45%</f>
        <v>23986.676</v>
      </c>
      <c r="K38" s="9">
        <v>0</v>
      </c>
      <c r="L38" s="9">
        <v>0</v>
      </c>
      <c r="M38" s="9">
        <v>8000</v>
      </c>
      <c r="N38" s="9">
        <v>0</v>
      </c>
      <c r="O38" s="9">
        <v>1200</v>
      </c>
      <c r="P38" s="9">
        <v>71750</v>
      </c>
      <c r="Q38" s="9">
        <v>0</v>
      </c>
      <c r="R38" s="9">
        <v>0</v>
      </c>
      <c r="S38" s="9">
        <v>13850</v>
      </c>
      <c r="T38" s="9">
        <v>4390</v>
      </c>
      <c r="U38" s="9">
        <v>0</v>
      </c>
      <c r="V38" s="9">
        <v>4560</v>
      </c>
      <c r="W38" s="9">
        <v>0</v>
      </c>
      <c r="X38" s="9">
        <v>0</v>
      </c>
      <c r="Y38" s="9">
        <v>0</v>
      </c>
      <c r="Z38" s="9">
        <v>51549</v>
      </c>
      <c r="AA38" s="9">
        <v>0</v>
      </c>
      <c r="AB38" s="11">
        <v>0</v>
      </c>
      <c r="AC38" s="11"/>
      <c r="AD38" s="11">
        <f t="shared" si="13"/>
        <v>34051</v>
      </c>
      <c r="AE38" s="11">
        <f>F38+H38+I38+J38+P38+Z38+AD38</f>
        <v>1311158.068</v>
      </c>
      <c r="AF38" s="20">
        <f t="shared" si="11"/>
        <v>728.4211488888889</v>
      </c>
    </row>
    <row r="39" spans="1:32" ht="11.25">
      <c r="A39" s="47" t="s">
        <v>53</v>
      </c>
      <c r="B39" s="11">
        <f>SUM(B38:B38)</f>
        <v>150</v>
      </c>
      <c r="C39" s="11">
        <f>SUM(C38:C38)</f>
        <v>0</v>
      </c>
      <c r="D39" s="11">
        <f>SUM(D38:D38)</f>
        <v>2051</v>
      </c>
      <c r="E39" s="11">
        <f t="shared" si="12"/>
        <v>2051</v>
      </c>
      <c r="F39" s="11">
        <f aca="true" t="shared" si="15" ref="F39:AC39">SUM(F38:F38)</f>
        <v>904289</v>
      </c>
      <c r="G39" s="11">
        <f t="shared" si="15"/>
        <v>0</v>
      </c>
      <c r="H39" s="11">
        <f t="shared" si="15"/>
        <v>74759</v>
      </c>
      <c r="I39" s="11">
        <f t="shared" si="15"/>
        <v>150773.392</v>
      </c>
      <c r="J39" s="11">
        <f t="shared" si="15"/>
        <v>23986.676</v>
      </c>
      <c r="K39" s="11">
        <f t="shared" si="15"/>
        <v>0</v>
      </c>
      <c r="L39" s="11">
        <f t="shared" si="15"/>
        <v>0</v>
      </c>
      <c r="M39" s="11">
        <f t="shared" si="15"/>
        <v>8000</v>
      </c>
      <c r="N39" s="11">
        <f t="shared" si="15"/>
        <v>0</v>
      </c>
      <c r="O39" s="11">
        <f t="shared" si="15"/>
        <v>1200</v>
      </c>
      <c r="P39" s="11">
        <f t="shared" si="15"/>
        <v>71750</v>
      </c>
      <c r="Q39" s="11">
        <f t="shared" si="15"/>
        <v>0</v>
      </c>
      <c r="R39" s="11">
        <f t="shared" si="15"/>
        <v>0</v>
      </c>
      <c r="S39" s="11">
        <f t="shared" si="15"/>
        <v>13850</v>
      </c>
      <c r="T39" s="11">
        <f t="shared" si="15"/>
        <v>4390</v>
      </c>
      <c r="U39" s="11">
        <f t="shared" si="15"/>
        <v>0</v>
      </c>
      <c r="V39" s="11">
        <f t="shared" si="15"/>
        <v>4560</v>
      </c>
      <c r="W39" s="11">
        <f t="shared" si="15"/>
        <v>0</v>
      </c>
      <c r="X39" s="11">
        <f t="shared" si="15"/>
        <v>0</v>
      </c>
      <c r="Y39" s="11">
        <f t="shared" si="15"/>
        <v>0</v>
      </c>
      <c r="Z39" s="11">
        <f t="shared" si="15"/>
        <v>51549</v>
      </c>
      <c r="AA39" s="11">
        <f t="shared" si="15"/>
        <v>0</v>
      </c>
      <c r="AB39" s="11">
        <f t="shared" si="15"/>
        <v>0</v>
      </c>
      <c r="AC39" s="11">
        <f t="shared" si="15"/>
        <v>0</v>
      </c>
      <c r="AD39" s="11">
        <f t="shared" si="13"/>
        <v>34051</v>
      </c>
      <c r="AE39" s="11">
        <f>SUM(AE38:AE38)</f>
        <v>1311158.068</v>
      </c>
      <c r="AF39" s="20">
        <f t="shared" si="11"/>
        <v>728.4211488888889</v>
      </c>
    </row>
    <row r="40" spans="1:32" ht="11.25">
      <c r="A40" s="46" t="s">
        <v>54</v>
      </c>
      <c r="B40" s="8">
        <v>454</v>
      </c>
      <c r="C40" s="9">
        <v>3700</v>
      </c>
      <c r="D40" s="9">
        <v>6479</v>
      </c>
      <c r="E40" s="9">
        <f t="shared" si="12"/>
        <v>10179</v>
      </c>
      <c r="F40" s="9">
        <f>2664617-150000-50000</f>
        <v>2464617</v>
      </c>
      <c r="G40" s="9"/>
      <c r="H40" s="9">
        <v>209589</v>
      </c>
      <c r="I40" s="9">
        <f>(F40+H40)*15.4%</f>
        <v>411827.724</v>
      </c>
      <c r="J40" s="9">
        <f>(F40+H40)*2.45%</f>
        <v>65518.047000000006</v>
      </c>
      <c r="K40" s="9">
        <v>7200</v>
      </c>
      <c r="L40" s="9">
        <v>1000</v>
      </c>
      <c r="M40" s="9">
        <v>24676</v>
      </c>
      <c r="N40" s="9">
        <v>0</v>
      </c>
      <c r="O40" s="9">
        <v>4000</v>
      </c>
      <c r="P40" s="9">
        <v>270746</v>
      </c>
      <c r="Q40" s="9">
        <f>3500+70000</f>
        <v>73500</v>
      </c>
      <c r="R40" s="9">
        <v>3000</v>
      </c>
      <c r="S40" s="9">
        <v>23843</v>
      </c>
      <c r="T40" s="9">
        <v>2040</v>
      </c>
      <c r="U40" s="9">
        <v>1080</v>
      </c>
      <c r="V40" s="9">
        <v>2880</v>
      </c>
      <c r="W40" s="9">
        <v>0</v>
      </c>
      <c r="X40" s="9">
        <v>1500</v>
      </c>
      <c r="Y40" s="9">
        <v>0</v>
      </c>
      <c r="Z40" s="9">
        <v>162139</v>
      </c>
      <c r="AA40" s="9">
        <v>0</v>
      </c>
      <c r="AB40" s="11">
        <v>0</v>
      </c>
      <c r="AC40" s="11"/>
      <c r="AD40" s="11">
        <f t="shared" si="13"/>
        <v>154898</v>
      </c>
      <c r="AE40" s="11">
        <f aca="true" t="shared" si="16" ref="AE40:AE50">F40+H40+I40+J40+P40+Z40+AD40</f>
        <v>3739334.7709999997</v>
      </c>
      <c r="AF40" s="20">
        <f t="shared" si="11"/>
        <v>686.3683500367106</v>
      </c>
    </row>
    <row r="41" spans="1:32" ht="11.25">
      <c r="A41" s="46" t="s">
        <v>55</v>
      </c>
      <c r="B41" s="8">
        <v>386</v>
      </c>
      <c r="C41" s="9">
        <v>2000</v>
      </c>
      <c r="D41" s="9">
        <v>3017</v>
      </c>
      <c r="E41" s="9">
        <f t="shared" si="12"/>
        <v>5017</v>
      </c>
      <c r="F41" s="9">
        <f>1581090-100000-25000-80386</f>
        <v>1375704</v>
      </c>
      <c r="G41" s="9"/>
      <c r="H41" s="9">
        <v>124410</v>
      </c>
      <c r="I41" s="9">
        <v>243397</v>
      </c>
      <c r="J41" s="9">
        <v>38722</v>
      </c>
      <c r="K41" s="9">
        <v>0</v>
      </c>
      <c r="L41" s="9">
        <v>0</v>
      </c>
      <c r="M41" s="9">
        <f>21786+2298</f>
        <v>24084</v>
      </c>
      <c r="N41" s="9">
        <v>0</v>
      </c>
      <c r="O41" s="9">
        <f>2000+400</f>
        <v>2400</v>
      </c>
      <c r="P41" s="9">
        <v>85079</v>
      </c>
      <c r="Q41" s="9">
        <v>0</v>
      </c>
      <c r="R41" s="9">
        <v>3000</v>
      </c>
      <c r="S41" s="9">
        <v>18747</v>
      </c>
      <c r="T41" s="9">
        <v>2500</v>
      </c>
      <c r="U41" s="9">
        <v>0</v>
      </c>
      <c r="V41" s="9">
        <v>6000</v>
      </c>
      <c r="W41" s="9">
        <v>0</v>
      </c>
      <c r="X41" s="9">
        <v>0</v>
      </c>
      <c r="Y41" s="9">
        <v>0</v>
      </c>
      <c r="Z41" s="9">
        <v>80386</v>
      </c>
      <c r="AA41" s="9">
        <v>0</v>
      </c>
      <c r="AB41" s="11">
        <v>0</v>
      </c>
      <c r="AC41" s="11"/>
      <c r="AD41" s="11">
        <f t="shared" si="13"/>
        <v>61748</v>
      </c>
      <c r="AE41" s="11">
        <f t="shared" si="16"/>
        <v>2009446</v>
      </c>
      <c r="AF41" s="20">
        <f t="shared" si="11"/>
        <v>433.8182210708118</v>
      </c>
    </row>
    <row r="42" spans="1:32" ht="11.25">
      <c r="A42" s="46" t="s">
        <v>56</v>
      </c>
      <c r="B42" s="8">
        <v>605</v>
      </c>
      <c r="C42" s="9">
        <v>0</v>
      </c>
      <c r="D42" s="9">
        <v>7310</v>
      </c>
      <c r="E42" s="9">
        <f t="shared" si="12"/>
        <v>7310</v>
      </c>
      <c r="F42" s="9">
        <f>3373588-200000-50000</f>
        <v>3123588</v>
      </c>
      <c r="G42" s="9"/>
      <c r="H42" s="9">
        <v>248369</v>
      </c>
      <c r="I42" s="9">
        <f aca="true" t="shared" si="17" ref="I42:I50">(F42+H42)*15.4%</f>
        <v>519281.37799999997</v>
      </c>
      <c r="J42" s="9">
        <f aca="true" t="shared" si="18" ref="J42:J50">(F42+H42)*2.45%</f>
        <v>82612.9465</v>
      </c>
      <c r="K42" s="9">
        <v>18000</v>
      </c>
      <c r="L42" s="9">
        <v>0</v>
      </c>
      <c r="M42" s="9">
        <v>52510</v>
      </c>
      <c r="N42" s="9">
        <v>0</v>
      </c>
      <c r="O42" s="9">
        <f>11000+9000</f>
        <v>20000</v>
      </c>
      <c r="P42" s="9">
        <v>271517</v>
      </c>
      <c r="Q42" s="9">
        <v>60000</v>
      </c>
      <c r="R42" s="9">
        <v>4000</v>
      </c>
      <c r="S42" s="9">
        <f>41000+5000</f>
        <v>46000</v>
      </c>
      <c r="T42" s="9">
        <v>1350</v>
      </c>
      <c r="U42" s="9">
        <v>800</v>
      </c>
      <c r="V42" s="9">
        <v>5600</v>
      </c>
      <c r="W42" s="9">
        <v>0</v>
      </c>
      <c r="X42" s="9">
        <v>600</v>
      </c>
      <c r="Y42" s="9">
        <v>0</v>
      </c>
      <c r="Z42" s="9">
        <v>172583</v>
      </c>
      <c r="AA42" s="9">
        <v>0</v>
      </c>
      <c r="AB42" s="11">
        <v>0</v>
      </c>
      <c r="AC42" s="11"/>
      <c r="AD42" s="11">
        <f t="shared" si="13"/>
        <v>216170</v>
      </c>
      <c r="AE42" s="11">
        <f t="shared" si="16"/>
        <v>4634121.3245</v>
      </c>
      <c r="AF42" s="20">
        <f t="shared" si="11"/>
        <v>638.3087223829201</v>
      </c>
    </row>
    <row r="43" spans="1:32" ht="11.25">
      <c r="A43" s="46" t="s">
        <v>57</v>
      </c>
      <c r="B43" s="8">
        <v>621</v>
      </c>
      <c r="C43" s="9">
        <v>4400</v>
      </c>
      <c r="D43" s="9">
        <v>7467</v>
      </c>
      <c r="E43" s="9">
        <f t="shared" si="12"/>
        <v>11867</v>
      </c>
      <c r="F43" s="9">
        <f>3209285-200000-25000</f>
        <v>2984285</v>
      </c>
      <c r="G43" s="9"/>
      <c r="H43" s="9">
        <v>244000</v>
      </c>
      <c r="I43" s="9">
        <f t="shared" si="17"/>
        <v>497155.89</v>
      </c>
      <c r="J43" s="9">
        <f t="shared" si="18"/>
        <v>79092.9825</v>
      </c>
      <c r="K43" s="9">
        <v>30000</v>
      </c>
      <c r="L43" s="9">
        <v>0</v>
      </c>
      <c r="M43" s="9">
        <f>30805+3200</f>
        <v>34005</v>
      </c>
      <c r="N43" s="9">
        <v>0</v>
      </c>
      <c r="O43" s="9">
        <v>6000</v>
      </c>
      <c r="P43" s="9">
        <v>127000</v>
      </c>
      <c r="Q43" s="9">
        <v>70000</v>
      </c>
      <c r="R43" s="9">
        <v>3000</v>
      </c>
      <c r="S43" s="9">
        <f>24964+3000+28300</f>
        <v>56264</v>
      </c>
      <c r="T43" s="9">
        <v>1303</v>
      </c>
      <c r="U43" s="9">
        <v>0</v>
      </c>
      <c r="V43" s="9">
        <v>4500</v>
      </c>
      <c r="W43" s="9">
        <v>0</v>
      </c>
      <c r="X43" s="9">
        <v>2000</v>
      </c>
      <c r="Y43" s="9">
        <v>4000</v>
      </c>
      <c r="Z43" s="9">
        <v>186173</v>
      </c>
      <c r="AA43" s="9">
        <v>1000</v>
      </c>
      <c r="AB43" s="11">
        <v>0</v>
      </c>
      <c r="AC43" s="11"/>
      <c r="AD43" s="11">
        <f t="shared" si="13"/>
        <v>223939</v>
      </c>
      <c r="AE43" s="11">
        <f t="shared" si="16"/>
        <v>4341645.8725000005</v>
      </c>
      <c r="AF43" s="20">
        <f t="shared" si="11"/>
        <v>582.6148513821794</v>
      </c>
    </row>
    <row r="44" spans="1:32" ht="11.25">
      <c r="A44" s="46" t="s">
        <v>58</v>
      </c>
      <c r="B44" s="8">
        <v>520</v>
      </c>
      <c r="C44" s="9">
        <v>1500</v>
      </c>
      <c r="D44" s="9">
        <v>5358</v>
      </c>
      <c r="E44" s="9">
        <f t="shared" si="12"/>
        <v>6858</v>
      </c>
      <c r="F44" s="9">
        <f>2287177-150000-25000</f>
        <v>2112177</v>
      </c>
      <c r="G44" s="9"/>
      <c r="H44" s="9">
        <v>173718</v>
      </c>
      <c r="I44" s="9">
        <f t="shared" si="17"/>
        <v>352027.83</v>
      </c>
      <c r="J44" s="9">
        <f t="shared" si="18"/>
        <v>56004.427500000005</v>
      </c>
      <c r="K44" s="9">
        <v>0</v>
      </c>
      <c r="L44" s="9">
        <v>0</v>
      </c>
      <c r="M44" s="9">
        <v>45365</v>
      </c>
      <c r="N44" s="9">
        <v>0</v>
      </c>
      <c r="O44" s="9">
        <v>3500</v>
      </c>
      <c r="P44" s="9">
        <v>203138</v>
      </c>
      <c r="Q44" s="9">
        <f>1000+60000+2000</f>
        <v>63000</v>
      </c>
      <c r="R44" s="9">
        <v>3000</v>
      </c>
      <c r="S44" s="9">
        <v>14312</v>
      </c>
      <c r="T44" s="9">
        <v>1000</v>
      </c>
      <c r="U44" s="9">
        <v>0</v>
      </c>
      <c r="V44" s="9">
        <v>4500</v>
      </c>
      <c r="W44" s="9">
        <v>0</v>
      </c>
      <c r="X44" s="9">
        <v>1500</v>
      </c>
      <c r="Y44" s="9">
        <v>4800</v>
      </c>
      <c r="Z44" s="9">
        <v>137600</v>
      </c>
      <c r="AA44" s="9">
        <v>1000</v>
      </c>
      <c r="AB44" s="11">
        <v>0</v>
      </c>
      <c r="AC44" s="11"/>
      <c r="AD44" s="11">
        <f t="shared" si="13"/>
        <v>148835</v>
      </c>
      <c r="AE44" s="11">
        <f t="shared" si="16"/>
        <v>3183500.2575000003</v>
      </c>
      <c r="AF44" s="20">
        <f t="shared" si="11"/>
        <v>510.1763233173078</v>
      </c>
    </row>
    <row r="45" spans="1:32" ht="11.25">
      <c r="A45" s="46" t="s">
        <v>52</v>
      </c>
      <c r="B45" s="8">
        <v>138</v>
      </c>
      <c r="C45" s="9">
        <v>1892</v>
      </c>
      <c r="D45" s="9">
        <v>2042</v>
      </c>
      <c r="E45" s="9">
        <f t="shared" si="12"/>
        <v>3934</v>
      </c>
      <c r="F45" s="9">
        <f>866123-50000</f>
        <v>816123</v>
      </c>
      <c r="G45" s="9"/>
      <c r="H45" s="9">
        <v>80988</v>
      </c>
      <c r="I45" s="9">
        <f t="shared" si="17"/>
        <v>138155.094</v>
      </c>
      <c r="J45" s="9">
        <f t="shared" si="18"/>
        <v>21979.2195</v>
      </c>
      <c r="K45" s="9">
        <v>0</v>
      </c>
      <c r="L45" s="9">
        <v>0</v>
      </c>
      <c r="M45" s="9">
        <v>6000</v>
      </c>
      <c r="N45" s="9">
        <v>0</v>
      </c>
      <c r="O45" s="9">
        <v>1500</v>
      </c>
      <c r="P45" s="9">
        <v>20000</v>
      </c>
      <c r="Q45" s="9">
        <f>2756+50000</f>
        <v>52756</v>
      </c>
      <c r="R45" s="9">
        <v>2700</v>
      </c>
      <c r="S45" s="9">
        <v>7200</v>
      </c>
      <c r="T45" s="9">
        <v>0</v>
      </c>
      <c r="U45" s="9">
        <v>0</v>
      </c>
      <c r="V45" s="9">
        <v>0</v>
      </c>
      <c r="W45" s="9">
        <v>0</v>
      </c>
      <c r="X45" s="9">
        <v>1200</v>
      </c>
      <c r="Y45" s="9">
        <v>1600</v>
      </c>
      <c r="Z45" s="9">
        <v>50462</v>
      </c>
      <c r="AA45" s="9">
        <v>0</v>
      </c>
      <c r="AB45" s="11">
        <v>0</v>
      </c>
      <c r="AC45" s="11"/>
      <c r="AD45" s="11">
        <f t="shared" si="13"/>
        <v>76890</v>
      </c>
      <c r="AE45" s="11">
        <f t="shared" si="16"/>
        <v>1204597.3135</v>
      </c>
      <c r="AF45" s="20">
        <f t="shared" si="11"/>
        <v>727.4138366545893</v>
      </c>
    </row>
    <row r="46" spans="1:32" ht="11.25">
      <c r="A46" s="46" t="s">
        <v>59</v>
      </c>
      <c r="B46" s="8">
        <v>422</v>
      </c>
      <c r="C46" s="9">
        <v>2583</v>
      </c>
      <c r="D46" s="9">
        <v>3851</v>
      </c>
      <c r="E46" s="9">
        <f t="shared" si="12"/>
        <v>6434</v>
      </c>
      <c r="F46" s="9">
        <f>1822487-100000</f>
        <v>1722487</v>
      </c>
      <c r="G46" s="9"/>
      <c r="H46" s="9">
        <v>152000</v>
      </c>
      <c r="I46" s="9">
        <f t="shared" si="17"/>
        <v>288670.998</v>
      </c>
      <c r="J46" s="9">
        <f t="shared" si="18"/>
        <v>45924.9315</v>
      </c>
      <c r="K46" s="9">
        <v>18000</v>
      </c>
      <c r="L46" s="9">
        <v>7440</v>
      </c>
      <c r="M46" s="9">
        <v>16785</v>
      </c>
      <c r="N46" s="9">
        <v>0</v>
      </c>
      <c r="O46" s="9">
        <v>2500</v>
      </c>
      <c r="P46" s="9">
        <v>215500</v>
      </c>
      <c r="Q46" s="9">
        <f>1000+60000</f>
        <v>61000</v>
      </c>
      <c r="R46" s="9">
        <v>4500</v>
      </c>
      <c r="S46" s="9">
        <v>16000</v>
      </c>
      <c r="T46" s="9">
        <v>1400</v>
      </c>
      <c r="U46" s="9">
        <v>2400</v>
      </c>
      <c r="V46" s="9">
        <v>7000</v>
      </c>
      <c r="W46" s="9">
        <v>0</v>
      </c>
      <c r="X46" s="9">
        <v>5100</v>
      </c>
      <c r="Y46" s="9">
        <v>6000</v>
      </c>
      <c r="Z46" s="9">
        <v>100178</v>
      </c>
      <c r="AA46" s="9">
        <v>500</v>
      </c>
      <c r="AB46" s="11">
        <v>0</v>
      </c>
      <c r="AC46" s="11"/>
      <c r="AD46" s="11">
        <f t="shared" si="13"/>
        <v>155059</v>
      </c>
      <c r="AE46" s="11">
        <f t="shared" si="16"/>
        <v>2679819.9295</v>
      </c>
      <c r="AF46" s="20">
        <f t="shared" si="11"/>
        <v>529.1903494273301</v>
      </c>
    </row>
    <row r="47" spans="1:32" ht="11.25">
      <c r="A47" s="46" t="s">
        <v>60</v>
      </c>
      <c r="B47" s="8">
        <v>297</v>
      </c>
      <c r="C47" s="9">
        <v>1000</v>
      </c>
      <c r="D47" s="9">
        <v>2530</v>
      </c>
      <c r="E47" s="9">
        <f t="shared" si="12"/>
        <v>3530</v>
      </c>
      <c r="F47" s="9">
        <f>1124264-50000-50000</f>
        <v>1024264</v>
      </c>
      <c r="G47" s="9"/>
      <c r="H47" s="9">
        <v>90619</v>
      </c>
      <c r="I47" s="9">
        <f t="shared" si="17"/>
        <v>171691.982</v>
      </c>
      <c r="J47" s="9">
        <f t="shared" si="18"/>
        <v>27314.6335</v>
      </c>
      <c r="K47" s="9">
        <v>0</v>
      </c>
      <c r="L47" s="9">
        <v>0</v>
      </c>
      <c r="M47" s="9">
        <v>13568</v>
      </c>
      <c r="N47" s="9">
        <v>0</v>
      </c>
      <c r="O47" s="9">
        <v>0</v>
      </c>
      <c r="P47" s="9">
        <v>203455</v>
      </c>
      <c r="Q47" s="9">
        <f>7000+120000</f>
        <v>127000</v>
      </c>
      <c r="R47" s="9">
        <v>3000</v>
      </c>
      <c r="S47" s="9">
        <v>10025</v>
      </c>
      <c r="T47" s="9">
        <v>1500</v>
      </c>
      <c r="U47" s="9">
        <v>0</v>
      </c>
      <c r="V47" s="9">
        <v>6000</v>
      </c>
      <c r="W47" s="9">
        <v>0</v>
      </c>
      <c r="X47" s="9">
        <v>1000</v>
      </c>
      <c r="Y47" s="9">
        <v>1500</v>
      </c>
      <c r="Z47" s="9">
        <v>65658</v>
      </c>
      <c r="AA47" s="9">
        <v>200</v>
      </c>
      <c r="AB47" s="11">
        <v>0</v>
      </c>
      <c r="AC47" s="11"/>
      <c r="AD47" s="11">
        <f t="shared" si="13"/>
        <v>167323</v>
      </c>
      <c r="AE47" s="11">
        <f t="shared" si="16"/>
        <v>1750325.6155</v>
      </c>
      <c r="AF47" s="20">
        <f t="shared" si="11"/>
        <v>491.1126867283951</v>
      </c>
    </row>
    <row r="48" spans="1:32" ht="11.25">
      <c r="A48" s="46" t="s">
        <v>61</v>
      </c>
      <c r="B48" s="8">
        <v>314</v>
      </c>
      <c r="C48" s="9">
        <v>2000</v>
      </c>
      <c r="D48" s="9">
        <v>3807</v>
      </c>
      <c r="E48" s="9">
        <f t="shared" si="12"/>
        <v>5807</v>
      </c>
      <c r="F48" s="9">
        <f>1780449-150000</f>
        <v>1630449</v>
      </c>
      <c r="G48" s="9"/>
      <c r="H48" s="9">
        <v>136691</v>
      </c>
      <c r="I48" s="9">
        <f t="shared" si="17"/>
        <v>272139.56</v>
      </c>
      <c r="J48" s="9">
        <f t="shared" si="18"/>
        <v>43294.93</v>
      </c>
      <c r="K48" s="9">
        <v>4000</v>
      </c>
      <c r="L48" s="9">
        <v>1000</v>
      </c>
      <c r="M48" s="9">
        <f>10600+4000</f>
        <v>14600</v>
      </c>
      <c r="N48" s="9">
        <v>0</v>
      </c>
      <c r="O48" s="9">
        <v>4000</v>
      </c>
      <c r="P48" s="9">
        <v>157925</v>
      </c>
      <c r="Q48" s="9">
        <f>1200+70000</f>
        <v>71200</v>
      </c>
      <c r="R48" s="9">
        <v>4000</v>
      </c>
      <c r="S48" s="9">
        <f>10316+3690</f>
        <v>14006</v>
      </c>
      <c r="T48" s="9">
        <v>1000</v>
      </c>
      <c r="U48" s="9">
        <v>0</v>
      </c>
      <c r="V48" s="9">
        <v>7000</v>
      </c>
      <c r="W48" s="9">
        <v>0</v>
      </c>
      <c r="X48" s="9">
        <v>600</v>
      </c>
      <c r="Y48" s="9">
        <v>3500</v>
      </c>
      <c r="Z48" s="9">
        <v>96670</v>
      </c>
      <c r="AA48" s="9">
        <v>0</v>
      </c>
      <c r="AB48" s="11">
        <v>0</v>
      </c>
      <c r="AC48" s="11"/>
      <c r="AD48" s="11">
        <f t="shared" si="13"/>
        <v>130713</v>
      </c>
      <c r="AE48" s="11">
        <f t="shared" si="16"/>
        <v>2467882.49</v>
      </c>
      <c r="AF48" s="20">
        <f t="shared" si="11"/>
        <v>654.9581979830149</v>
      </c>
    </row>
    <row r="49" spans="1:32" ht="11.25">
      <c r="A49" s="46" t="s">
        <v>46</v>
      </c>
      <c r="B49" s="8">
        <v>148</v>
      </c>
      <c r="C49" s="9">
        <v>0</v>
      </c>
      <c r="D49" s="9">
        <v>579</v>
      </c>
      <c r="E49" s="9">
        <f t="shared" si="12"/>
        <v>579</v>
      </c>
      <c r="F49" s="9">
        <f>402021-25000</f>
        <v>377021</v>
      </c>
      <c r="G49" s="9"/>
      <c r="H49" s="9">
        <v>35973</v>
      </c>
      <c r="I49" s="9">
        <f t="shared" si="17"/>
        <v>63601.076</v>
      </c>
      <c r="J49" s="9">
        <f t="shared" si="18"/>
        <v>10118.353000000001</v>
      </c>
      <c r="K49" s="9">
        <v>0</v>
      </c>
      <c r="L49" s="9">
        <v>0</v>
      </c>
      <c r="M49" s="9">
        <v>6136</v>
      </c>
      <c r="N49" s="9">
        <v>0</v>
      </c>
      <c r="O49" s="9">
        <v>1000</v>
      </c>
      <c r="P49" s="9">
        <v>25567</v>
      </c>
      <c r="Q49" s="9">
        <v>0</v>
      </c>
      <c r="R49" s="9">
        <v>0</v>
      </c>
      <c r="S49" s="9">
        <v>12000</v>
      </c>
      <c r="T49" s="9">
        <v>0</v>
      </c>
      <c r="U49" s="9">
        <v>0</v>
      </c>
      <c r="V49" s="9">
        <v>0</v>
      </c>
      <c r="W49" s="9">
        <v>0</v>
      </c>
      <c r="X49" s="9">
        <v>400</v>
      </c>
      <c r="Y49" s="9">
        <v>0</v>
      </c>
      <c r="Z49" s="9">
        <v>18068</v>
      </c>
      <c r="AA49" s="9">
        <v>0</v>
      </c>
      <c r="AB49" s="11">
        <v>0</v>
      </c>
      <c r="AC49" s="11"/>
      <c r="AD49" s="11">
        <f t="shared" si="13"/>
        <v>20115</v>
      </c>
      <c r="AE49" s="11">
        <f t="shared" si="16"/>
        <v>550463.429</v>
      </c>
      <c r="AF49" s="20">
        <f t="shared" si="11"/>
        <v>309.94562443693695</v>
      </c>
    </row>
    <row r="50" spans="1:32" ht="11.25">
      <c r="A50" s="48" t="s">
        <v>62</v>
      </c>
      <c r="B50" s="8">
        <v>460</v>
      </c>
      <c r="C50" s="9">
        <v>0</v>
      </c>
      <c r="D50" s="9">
        <v>4950</v>
      </c>
      <c r="E50" s="9">
        <f t="shared" si="12"/>
        <v>4950</v>
      </c>
      <c r="F50" s="9">
        <f>2120704-150000-25000</f>
        <v>1945704</v>
      </c>
      <c r="G50" s="9"/>
      <c r="H50" s="9">
        <v>166790</v>
      </c>
      <c r="I50" s="9">
        <f t="shared" si="17"/>
        <v>325324.076</v>
      </c>
      <c r="J50" s="9">
        <f t="shared" si="18"/>
        <v>51756.103</v>
      </c>
      <c r="K50" s="9">
        <v>0</v>
      </c>
      <c r="L50" s="9">
        <v>0</v>
      </c>
      <c r="M50" s="9">
        <f>23230+12000+2000</f>
        <v>37230</v>
      </c>
      <c r="N50" s="9">
        <v>0</v>
      </c>
      <c r="O50" s="9">
        <v>5000</v>
      </c>
      <c r="P50" s="9">
        <v>80912</v>
      </c>
      <c r="Q50" s="9">
        <v>18000</v>
      </c>
      <c r="R50" s="9">
        <v>3000</v>
      </c>
      <c r="S50" s="9">
        <v>7000</v>
      </c>
      <c r="T50" s="9">
        <v>4000</v>
      </c>
      <c r="U50" s="9">
        <v>0</v>
      </c>
      <c r="V50" s="9">
        <v>4100</v>
      </c>
      <c r="W50" s="9">
        <v>0</v>
      </c>
      <c r="X50" s="9">
        <v>0</v>
      </c>
      <c r="Y50" s="9">
        <v>0</v>
      </c>
      <c r="Z50" s="9">
        <v>124533</v>
      </c>
      <c r="AA50" s="9">
        <v>0</v>
      </c>
      <c r="AB50" s="11">
        <v>0</v>
      </c>
      <c r="AC50" s="11"/>
      <c r="AD50" s="11">
        <f t="shared" si="13"/>
        <v>83280</v>
      </c>
      <c r="AE50" s="11">
        <f t="shared" si="16"/>
        <v>2778299.179</v>
      </c>
      <c r="AF50" s="20">
        <f t="shared" si="11"/>
        <v>503.31506865942026</v>
      </c>
    </row>
    <row r="51" spans="1:32" ht="11.25">
      <c r="A51" s="47" t="s">
        <v>63</v>
      </c>
      <c r="B51" s="11">
        <f>SUM(B40:B50)</f>
        <v>4365</v>
      </c>
      <c r="C51" s="11">
        <f>SUM(C40:C50)</f>
        <v>19075</v>
      </c>
      <c r="D51" s="11">
        <f>SUM(D40:D50)</f>
        <v>47390</v>
      </c>
      <c r="E51" s="11">
        <f t="shared" si="12"/>
        <v>66465</v>
      </c>
      <c r="F51" s="11">
        <f aca="true" t="shared" si="19" ref="F51:AC51">SUM(F40:F50)</f>
        <v>19576419</v>
      </c>
      <c r="G51" s="11">
        <f t="shared" si="19"/>
        <v>0</v>
      </c>
      <c r="H51" s="11">
        <f t="shared" si="19"/>
        <v>1663147</v>
      </c>
      <c r="I51" s="11">
        <f t="shared" si="19"/>
        <v>3283272.608</v>
      </c>
      <c r="J51" s="11">
        <f t="shared" si="19"/>
        <v>522338.574</v>
      </c>
      <c r="K51" s="11">
        <f t="shared" si="19"/>
        <v>77200</v>
      </c>
      <c r="L51" s="11">
        <f t="shared" si="19"/>
        <v>9440</v>
      </c>
      <c r="M51" s="11">
        <f t="shared" si="19"/>
        <v>274959</v>
      </c>
      <c r="N51" s="11">
        <f t="shared" si="19"/>
        <v>0</v>
      </c>
      <c r="O51" s="11">
        <f t="shared" si="19"/>
        <v>49900</v>
      </c>
      <c r="P51" s="11">
        <f t="shared" si="19"/>
        <v>1660839</v>
      </c>
      <c r="Q51" s="11">
        <f t="shared" si="19"/>
        <v>596456</v>
      </c>
      <c r="R51" s="11">
        <f t="shared" si="19"/>
        <v>33200</v>
      </c>
      <c r="S51" s="11">
        <f t="shared" si="19"/>
        <v>225397</v>
      </c>
      <c r="T51" s="11">
        <f t="shared" si="19"/>
        <v>16093</v>
      </c>
      <c r="U51" s="11">
        <f t="shared" si="19"/>
        <v>4280</v>
      </c>
      <c r="V51" s="11">
        <f t="shared" si="19"/>
        <v>47580</v>
      </c>
      <c r="W51" s="11">
        <f t="shared" si="19"/>
        <v>0</v>
      </c>
      <c r="X51" s="11">
        <f t="shared" si="19"/>
        <v>13900</v>
      </c>
      <c r="Y51" s="11">
        <f t="shared" si="19"/>
        <v>21400</v>
      </c>
      <c r="Z51" s="11">
        <f t="shared" si="19"/>
        <v>1194450</v>
      </c>
      <c r="AA51" s="11">
        <f t="shared" si="19"/>
        <v>2700</v>
      </c>
      <c r="AB51" s="11">
        <f t="shared" si="19"/>
        <v>0</v>
      </c>
      <c r="AC51" s="11">
        <f t="shared" si="19"/>
        <v>0</v>
      </c>
      <c r="AD51" s="11">
        <f t="shared" si="13"/>
        <v>1438970</v>
      </c>
      <c r="AE51" s="11">
        <f>SUM(AE40:AE50)</f>
        <v>29339436.182000004</v>
      </c>
      <c r="AF51" s="20">
        <f t="shared" si="11"/>
        <v>560.1266930507828</v>
      </c>
    </row>
    <row r="52" spans="1:32" ht="11.25">
      <c r="A52" s="47" t="s">
        <v>64</v>
      </c>
      <c r="B52" s="1">
        <v>339</v>
      </c>
      <c r="C52" s="11">
        <v>1500</v>
      </c>
      <c r="D52" s="11">
        <v>6491</v>
      </c>
      <c r="E52" s="11">
        <f t="shared" si="12"/>
        <v>7991</v>
      </c>
      <c r="F52" s="11">
        <f>2623970-100000</f>
        <v>2523970</v>
      </c>
      <c r="G52" s="11"/>
      <c r="H52" s="11">
        <v>201762</v>
      </c>
      <c r="I52" s="11">
        <f>(F52+H52)*15.4%</f>
        <v>419762.728</v>
      </c>
      <c r="J52" s="11">
        <f>(F52+H52)*2.45%</f>
        <v>66780.43400000001</v>
      </c>
      <c r="K52" s="11">
        <v>0</v>
      </c>
      <c r="L52" s="11">
        <v>10000</v>
      </c>
      <c r="M52" s="11">
        <f>9366+1800</f>
        <v>11166</v>
      </c>
      <c r="N52" s="11">
        <v>0</v>
      </c>
      <c r="O52" s="11">
        <v>5500</v>
      </c>
      <c r="P52" s="11">
        <v>59967</v>
      </c>
      <c r="Q52" s="11">
        <v>4200</v>
      </c>
      <c r="R52" s="11">
        <v>4000</v>
      </c>
      <c r="S52" s="11">
        <v>14200</v>
      </c>
      <c r="T52" s="11">
        <v>800</v>
      </c>
      <c r="U52" s="11">
        <v>0</v>
      </c>
      <c r="V52" s="11">
        <v>4800</v>
      </c>
      <c r="W52" s="11">
        <v>0</v>
      </c>
      <c r="X52" s="11">
        <v>2000</v>
      </c>
      <c r="Y52" s="11">
        <v>3000</v>
      </c>
      <c r="Z52" s="11">
        <v>154350</v>
      </c>
      <c r="AA52" s="11">
        <v>800</v>
      </c>
      <c r="AB52" s="11">
        <v>0</v>
      </c>
      <c r="AC52" s="11"/>
      <c r="AD52" s="11">
        <f t="shared" si="13"/>
        <v>68457</v>
      </c>
      <c r="AE52" s="11">
        <f>F52+H52+I52+J52+P52+Z52+AD52</f>
        <v>3495049.162</v>
      </c>
      <c r="AF52" s="20">
        <f t="shared" si="11"/>
        <v>859.156627826942</v>
      </c>
    </row>
    <row r="53" spans="1:32" ht="11.25">
      <c r="A53" s="46" t="s">
        <v>32</v>
      </c>
      <c r="B53" s="1">
        <v>33</v>
      </c>
      <c r="C53" s="11">
        <v>0</v>
      </c>
      <c r="D53" s="11">
        <v>1970</v>
      </c>
      <c r="E53" s="11">
        <f t="shared" si="12"/>
        <v>1970</v>
      </c>
      <c r="F53" s="9">
        <f>832827-25000</f>
        <v>807827</v>
      </c>
      <c r="G53" s="9"/>
      <c r="H53" s="9">
        <v>64419</v>
      </c>
      <c r="I53" s="9">
        <f>(F53+H53)*15.4%</f>
        <v>134325.884</v>
      </c>
      <c r="J53" s="9">
        <f>(F53+H53)*2.45%</f>
        <v>21370.027000000002</v>
      </c>
      <c r="K53" s="9">
        <v>0</v>
      </c>
      <c r="L53" s="9">
        <v>0</v>
      </c>
      <c r="M53" s="9">
        <v>2940</v>
      </c>
      <c r="N53" s="9">
        <v>0</v>
      </c>
      <c r="O53" s="9">
        <v>1000</v>
      </c>
      <c r="P53" s="9">
        <v>13325</v>
      </c>
      <c r="Q53" s="9">
        <v>0</v>
      </c>
      <c r="R53" s="9">
        <v>0</v>
      </c>
      <c r="S53" s="9">
        <v>2700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40180</v>
      </c>
      <c r="AA53" s="9">
        <v>0</v>
      </c>
      <c r="AB53" s="11">
        <v>0</v>
      </c>
      <c r="AC53" s="11"/>
      <c r="AD53" s="11">
        <f t="shared" si="13"/>
        <v>8610</v>
      </c>
      <c r="AE53" s="11">
        <f>F53+H53+I53+J53+P53+Z53+AD53</f>
        <v>1090056.9109999998</v>
      </c>
      <c r="AF53" s="20">
        <f t="shared" si="11"/>
        <v>2752.6689671717168</v>
      </c>
    </row>
    <row r="54" spans="1:32" ht="11.25">
      <c r="A54" s="46" t="s">
        <v>65</v>
      </c>
      <c r="B54" s="1">
        <v>27</v>
      </c>
      <c r="C54" s="11">
        <v>0</v>
      </c>
      <c r="D54" s="11">
        <v>1471</v>
      </c>
      <c r="E54" s="11">
        <f t="shared" si="12"/>
        <v>1471</v>
      </c>
      <c r="F54" s="9">
        <f>708629-25000</f>
        <v>683629</v>
      </c>
      <c r="G54" s="9"/>
      <c r="H54" s="9">
        <v>67812</v>
      </c>
      <c r="I54" s="9">
        <f>(F54+H54)*15.4%</f>
        <v>115721.914</v>
      </c>
      <c r="J54" s="9">
        <f>(F54+H54)*2.45%</f>
        <v>18410.304500000002</v>
      </c>
      <c r="K54" s="9">
        <v>0</v>
      </c>
      <c r="L54" s="9">
        <v>0</v>
      </c>
      <c r="M54" s="9">
        <v>1560</v>
      </c>
      <c r="N54" s="9">
        <v>0</v>
      </c>
      <c r="O54" s="9">
        <v>300</v>
      </c>
      <c r="P54" s="9">
        <v>630</v>
      </c>
      <c r="Q54" s="9">
        <v>0</v>
      </c>
      <c r="R54" s="9">
        <v>0</v>
      </c>
      <c r="S54" s="9">
        <v>3000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33529</v>
      </c>
      <c r="AA54" s="9">
        <v>0</v>
      </c>
      <c r="AB54" s="11">
        <v>0</v>
      </c>
      <c r="AC54" s="11"/>
      <c r="AD54" s="11">
        <f t="shared" si="13"/>
        <v>6331</v>
      </c>
      <c r="AE54" s="11">
        <f>F54+H54+I54+J54+P54+Z54+AD54</f>
        <v>926063.2185</v>
      </c>
      <c r="AF54" s="20">
        <f t="shared" si="11"/>
        <v>2858.219810185185</v>
      </c>
    </row>
    <row r="55" spans="1:32" ht="11.25">
      <c r="A55" s="46" t="s">
        <v>66</v>
      </c>
      <c r="B55" s="1">
        <v>36</v>
      </c>
      <c r="C55" s="11">
        <v>300</v>
      </c>
      <c r="D55" s="11">
        <v>964</v>
      </c>
      <c r="E55" s="11">
        <f t="shared" si="12"/>
        <v>1264</v>
      </c>
      <c r="F55" s="9">
        <f>618828-25000</f>
        <v>593828</v>
      </c>
      <c r="G55" s="9"/>
      <c r="H55" s="9">
        <v>52373</v>
      </c>
      <c r="I55" s="9">
        <f>(F55+H55)*15.4%</f>
        <v>99514.954</v>
      </c>
      <c r="J55" s="9">
        <f>(F55+H55)*2.45%</f>
        <v>15831.924500000001</v>
      </c>
      <c r="K55" s="9">
        <v>0</v>
      </c>
      <c r="L55" s="9">
        <v>0</v>
      </c>
      <c r="M55" s="9">
        <v>1171</v>
      </c>
      <c r="N55" s="9">
        <v>0</v>
      </c>
      <c r="O55" s="9">
        <v>239</v>
      </c>
      <c r="P55" s="9">
        <v>41632</v>
      </c>
      <c r="Q55" s="9">
        <v>400</v>
      </c>
      <c r="R55" s="9">
        <v>1200</v>
      </c>
      <c r="S55" s="9">
        <v>1000</v>
      </c>
      <c r="T55" s="9">
        <v>240</v>
      </c>
      <c r="U55" s="9">
        <v>0</v>
      </c>
      <c r="V55" s="9">
        <v>480</v>
      </c>
      <c r="W55" s="9">
        <v>0</v>
      </c>
      <c r="X55" s="9">
        <v>200</v>
      </c>
      <c r="Y55" s="9">
        <v>250</v>
      </c>
      <c r="Z55" s="9">
        <v>29165</v>
      </c>
      <c r="AA55" s="9">
        <v>1000</v>
      </c>
      <c r="AB55" s="11">
        <v>0</v>
      </c>
      <c r="AC55" s="11"/>
      <c r="AD55" s="11">
        <f t="shared" si="13"/>
        <v>7444</v>
      </c>
      <c r="AE55" s="11">
        <f>F55+H55+I55+J55+P55+Z55+AD55</f>
        <v>839788.8785</v>
      </c>
      <c r="AF55" s="20">
        <f t="shared" si="11"/>
        <v>1943.9557372685185</v>
      </c>
    </row>
    <row r="56" spans="1:32" ht="11.25">
      <c r="A56" s="47" t="s">
        <v>67</v>
      </c>
      <c r="B56" s="13">
        <f>SUM(B53:B55)</f>
        <v>96</v>
      </c>
      <c r="C56" s="13">
        <f>SUM(C53:C55)</f>
        <v>300</v>
      </c>
      <c r="D56" s="13">
        <f>SUM(D53:D55)</f>
        <v>4405</v>
      </c>
      <c r="E56" s="13">
        <f t="shared" si="12"/>
        <v>4705</v>
      </c>
      <c r="F56" s="13">
        <f aca="true" t="shared" si="20" ref="F56:AC56">SUM(F53:F55)</f>
        <v>2085284</v>
      </c>
      <c r="G56" s="13">
        <f t="shared" si="20"/>
        <v>0</v>
      </c>
      <c r="H56" s="13">
        <f t="shared" si="20"/>
        <v>184604</v>
      </c>
      <c r="I56" s="13">
        <f t="shared" si="20"/>
        <v>349562.752</v>
      </c>
      <c r="J56" s="13">
        <f t="shared" si="20"/>
        <v>55612.256</v>
      </c>
      <c r="K56" s="13">
        <f t="shared" si="20"/>
        <v>0</v>
      </c>
      <c r="L56" s="13">
        <f t="shared" si="20"/>
        <v>0</v>
      </c>
      <c r="M56" s="13">
        <f t="shared" si="20"/>
        <v>5671</v>
      </c>
      <c r="N56" s="13">
        <f t="shared" si="20"/>
        <v>0</v>
      </c>
      <c r="O56" s="13">
        <f t="shared" si="20"/>
        <v>1539</v>
      </c>
      <c r="P56" s="13">
        <f t="shared" si="20"/>
        <v>55587</v>
      </c>
      <c r="Q56" s="13">
        <f t="shared" si="20"/>
        <v>400</v>
      </c>
      <c r="R56" s="13">
        <f t="shared" si="20"/>
        <v>1200</v>
      </c>
      <c r="S56" s="13">
        <f t="shared" si="20"/>
        <v>6700</v>
      </c>
      <c r="T56" s="13">
        <f t="shared" si="20"/>
        <v>240</v>
      </c>
      <c r="U56" s="13">
        <f t="shared" si="20"/>
        <v>0</v>
      </c>
      <c r="V56" s="13">
        <f t="shared" si="20"/>
        <v>480</v>
      </c>
      <c r="W56" s="13">
        <f t="shared" si="20"/>
        <v>0</v>
      </c>
      <c r="X56" s="13">
        <f t="shared" si="20"/>
        <v>200</v>
      </c>
      <c r="Y56" s="13">
        <f t="shared" si="20"/>
        <v>250</v>
      </c>
      <c r="Z56" s="13">
        <f t="shared" si="20"/>
        <v>102874</v>
      </c>
      <c r="AA56" s="13">
        <f t="shared" si="20"/>
        <v>1000</v>
      </c>
      <c r="AB56" s="13">
        <f t="shared" si="20"/>
        <v>0</v>
      </c>
      <c r="AC56" s="13">
        <f t="shared" si="20"/>
        <v>0</v>
      </c>
      <c r="AD56" s="11">
        <f t="shared" si="13"/>
        <v>22385</v>
      </c>
      <c r="AE56" s="13">
        <f>SUM(AE53:AE55)</f>
        <v>2855909.008</v>
      </c>
      <c r="AF56" s="20">
        <f t="shared" si="11"/>
        <v>2479.0876805555554</v>
      </c>
    </row>
    <row r="57" spans="1:32" ht="11.25">
      <c r="A57" s="47" t="s">
        <v>68</v>
      </c>
      <c r="B57" s="1">
        <v>0</v>
      </c>
      <c r="C57" s="11">
        <v>0</v>
      </c>
      <c r="D57" s="11">
        <v>309</v>
      </c>
      <c r="E57" s="11">
        <f t="shared" si="12"/>
        <v>309</v>
      </c>
      <c r="F57" s="11">
        <v>96819</v>
      </c>
      <c r="G57" s="11"/>
      <c r="H57" s="11">
        <v>0</v>
      </c>
      <c r="I57" s="11">
        <f>(F57+H57)*15.4%</f>
        <v>14910.126</v>
      </c>
      <c r="J57" s="11">
        <f>(F57+H57)*2.45%</f>
        <v>2372.0655</v>
      </c>
      <c r="K57" s="11">
        <v>0</v>
      </c>
      <c r="L57" s="11">
        <v>0</v>
      </c>
      <c r="M57" s="11">
        <v>1244</v>
      </c>
      <c r="N57" s="11">
        <v>0</v>
      </c>
      <c r="O57" s="11">
        <v>1000</v>
      </c>
      <c r="P57" s="11">
        <v>22706</v>
      </c>
      <c r="Q57" s="11">
        <v>0</v>
      </c>
      <c r="R57" s="11">
        <v>0</v>
      </c>
      <c r="S57" s="11">
        <v>780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6950</v>
      </c>
      <c r="AA57" s="11">
        <v>0</v>
      </c>
      <c r="AB57" s="11">
        <v>0</v>
      </c>
      <c r="AC57" s="11"/>
      <c r="AD57" s="11">
        <f t="shared" si="13"/>
        <v>3333</v>
      </c>
      <c r="AE57" s="11">
        <f aca="true" t="shared" si="21" ref="AE57:AE68">F57+H57+I57+J57+P57+Z57+AD57</f>
        <v>147090.19150000002</v>
      </c>
      <c r="AF57" s="20"/>
    </row>
    <row r="58" spans="1:32" ht="21">
      <c r="A58" s="47" t="s">
        <v>69</v>
      </c>
      <c r="B58" s="1">
        <v>0</v>
      </c>
      <c r="C58" s="11">
        <v>400</v>
      </c>
      <c r="D58" s="11">
        <v>1317</v>
      </c>
      <c r="E58" s="11">
        <f t="shared" si="12"/>
        <v>1717</v>
      </c>
      <c r="F58" s="11">
        <v>490682</v>
      </c>
      <c r="G58" s="11"/>
      <c r="H58" s="11">
        <v>35610</v>
      </c>
      <c r="I58" s="11">
        <f>(F58+H58)*15.4%</f>
        <v>81048.968</v>
      </c>
      <c r="J58" s="11">
        <f>(F58+H58)*2.45%</f>
        <v>12894.154</v>
      </c>
      <c r="K58" s="11">
        <v>0</v>
      </c>
      <c r="L58" s="11">
        <v>31000</v>
      </c>
      <c r="M58" s="11">
        <v>7800</v>
      </c>
      <c r="N58" s="11">
        <v>0</v>
      </c>
      <c r="O58" s="11">
        <v>2000</v>
      </c>
      <c r="P58" s="11">
        <v>5460</v>
      </c>
      <c r="Q58" s="11">
        <v>2000</v>
      </c>
      <c r="R58" s="11">
        <v>800</v>
      </c>
      <c r="S58" s="11">
        <v>26400</v>
      </c>
      <c r="T58" s="11">
        <v>0</v>
      </c>
      <c r="U58" s="11">
        <v>0</v>
      </c>
      <c r="V58" s="11">
        <v>4000</v>
      </c>
      <c r="W58" s="11">
        <v>0</v>
      </c>
      <c r="X58" s="11">
        <v>2500</v>
      </c>
      <c r="Y58" s="11">
        <v>1300</v>
      </c>
      <c r="Z58" s="11">
        <v>27361</v>
      </c>
      <c r="AA58" s="11">
        <v>2400</v>
      </c>
      <c r="AB58" s="11">
        <v>0</v>
      </c>
      <c r="AC58" s="11"/>
      <c r="AD58" s="11">
        <f t="shared" si="13"/>
        <v>81917</v>
      </c>
      <c r="AE58" s="11">
        <f t="shared" si="21"/>
        <v>734973.122</v>
      </c>
      <c r="AF58" s="20"/>
    </row>
    <row r="59" spans="1:32" ht="11.25">
      <c r="A59" s="49" t="s">
        <v>70</v>
      </c>
      <c r="B59" s="1">
        <v>0</v>
      </c>
      <c r="C59" s="1">
        <v>0</v>
      </c>
      <c r="D59" s="1">
        <v>0</v>
      </c>
      <c r="E59" s="1">
        <f t="shared" si="12"/>
        <v>0</v>
      </c>
      <c r="F59" s="1">
        <v>77150</v>
      </c>
      <c r="G59" s="1"/>
      <c r="H59" s="1">
        <v>6449</v>
      </c>
      <c r="I59" s="11">
        <f>(F59+H59)*15.4%</f>
        <v>12874.246</v>
      </c>
      <c r="J59" s="11">
        <f>(F59+H59)*2.45%</f>
        <v>2048.1755000000003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2050</v>
      </c>
      <c r="Q59" s="1">
        <v>0</v>
      </c>
      <c r="R59" s="1">
        <v>0</v>
      </c>
      <c r="S59" s="1">
        <v>513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3204</v>
      </c>
      <c r="AA59" s="1">
        <v>0</v>
      </c>
      <c r="AB59" s="11">
        <v>0</v>
      </c>
      <c r="AC59" s="11"/>
      <c r="AD59" s="11">
        <f t="shared" si="13"/>
        <v>513</v>
      </c>
      <c r="AE59" s="11">
        <f t="shared" si="21"/>
        <v>104288.4215</v>
      </c>
      <c r="AF59" s="20"/>
    </row>
    <row r="60" spans="1:32" ht="11.25">
      <c r="A60" s="46" t="s">
        <v>134</v>
      </c>
      <c r="B60" s="1"/>
      <c r="C60" s="1"/>
      <c r="D60" s="1"/>
      <c r="E60" s="1">
        <f t="shared" si="12"/>
        <v>0</v>
      </c>
      <c r="F60" s="1"/>
      <c r="G60" s="1"/>
      <c r="H60" s="1"/>
      <c r="I60" s="11"/>
      <c r="J60" s="1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1"/>
      <c r="AC60" s="9">
        <v>5000</v>
      </c>
      <c r="AD60" s="11">
        <f t="shared" si="13"/>
        <v>5000</v>
      </c>
      <c r="AE60" s="11">
        <f t="shared" si="21"/>
        <v>5000</v>
      </c>
      <c r="AF60" s="20"/>
    </row>
    <row r="61" spans="1:32" ht="11.25">
      <c r="A61" s="46" t="s">
        <v>135</v>
      </c>
      <c r="B61" s="1"/>
      <c r="C61" s="1"/>
      <c r="D61" s="1"/>
      <c r="E61" s="1">
        <f t="shared" si="12"/>
        <v>0</v>
      </c>
      <c r="F61" s="1"/>
      <c r="G61" s="1"/>
      <c r="H61" s="1"/>
      <c r="I61" s="11"/>
      <c r="J61" s="11"/>
      <c r="K61" s="1"/>
      <c r="L61" s="1"/>
      <c r="M61" s="1"/>
      <c r="N61" s="1"/>
      <c r="O61" s="1"/>
      <c r="P61" s="1"/>
      <c r="Q61" s="1"/>
      <c r="R61" s="1"/>
      <c r="S61" s="14">
        <v>3000</v>
      </c>
      <c r="T61" s="1"/>
      <c r="U61" s="1"/>
      <c r="V61" s="1"/>
      <c r="W61" s="1"/>
      <c r="X61" s="1"/>
      <c r="Y61" s="1"/>
      <c r="Z61" s="1"/>
      <c r="AA61" s="1"/>
      <c r="AB61" s="11"/>
      <c r="AC61" s="11"/>
      <c r="AD61" s="11">
        <f t="shared" si="13"/>
        <v>3000</v>
      </c>
      <c r="AE61" s="11">
        <f t="shared" si="21"/>
        <v>3000</v>
      </c>
      <c r="AF61" s="20"/>
    </row>
    <row r="62" spans="1:32" ht="11.25">
      <c r="A62" s="46" t="s">
        <v>136</v>
      </c>
      <c r="B62" s="1"/>
      <c r="C62" s="1"/>
      <c r="D62" s="1"/>
      <c r="E62" s="1">
        <f t="shared" si="12"/>
        <v>0</v>
      </c>
      <c r="F62" s="1"/>
      <c r="G62" s="1"/>
      <c r="H62" s="1"/>
      <c r="I62" s="11"/>
      <c r="J62" s="11"/>
      <c r="K62" s="1"/>
      <c r="L62" s="1"/>
      <c r="M62" s="8">
        <v>2400</v>
      </c>
      <c r="N62" s="1"/>
      <c r="O62" s="1"/>
      <c r="P62" s="1"/>
      <c r="Q62" s="1"/>
      <c r="R62" s="1"/>
      <c r="S62" s="13"/>
      <c r="T62" s="1"/>
      <c r="U62" s="1"/>
      <c r="V62" s="1"/>
      <c r="W62" s="1"/>
      <c r="X62" s="1"/>
      <c r="Y62" s="1"/>
      <c r="Z62" s="1"/>
      <c r="AA62" s="1"/>
      <c r="AB62" s="11"/>
      <c r="AC62" s="11"/>
      <c r="AD62" s="11">
        <f t="shared" si="13"/>
        <v>2400</v>
      </c>
      <c r="AE62" s="11">
        <f t="shared" si="21"/>
        <v>2400</v>
      </c>
      <c r="AF62" s="20"/>
    </row>
    <row r="63" spans="1:32" ht="11.25">
      <c r="A63" s="50" t="s">
        <v>43</v>
      </c>
      <c r="B63" s="8"/>
      <c r="C63" s="8"/>
      <c r="D63" s="8"/>
      <c r="E63" s="8">
        <f t="shared" si="12"/>
        <v>0</v>
      </c>
      <c r="F63" s="8"/>
      <c r="G63" s="8"/>
      <c r="H63" s="8"/>
      <c r="I63" s="9"/>
      <c r="J63" s="9"/>
      <c r="K63" s="8"/>
      <c r="L63" s="8"/>
      <c r="M63" s="8">
        <v>1200</v>
      </c>
      <c r="N63" s="8"/>
      <c r="O63" s="8"/>
      <c r="P63" s="8"/>
      <c r="Q63" s="8"/>
      <c r="R63" s="8"/>
      <c r="S63" s="14"/>
      <c r="T63" s="8"/>
      <c r="U63" s="8"/>
      <c r="V63" s="8"/>
      <c r="W63" s="8"/>
      <c r="X63" s="8"/>
      <c r="Y63" s="8"/>
      <c r="Z63" s="8"/>
      <c r="AA63" s="8"/>
      <c r="AB63" s="9"/>
      <c r="AC63" s="9"/>
      <c r="AD63" s="11">
        <f t="shared" si="13"/>
        <v>1200</v>
      </c>
      <c r="AE63" s="11">
        <f t="shared" si="21"/>
        <v>1200</v>
      </c>
      <c r="AF63" s="21"/>
    </row>
    <row r="64" spans="1:32" ht="11.25">
      <c r="A64" s="46" t="s">
        <v>139</v>
      </c>
      <c r="B64" s="8"/>
      <c r="C64" s="8"/>
      <c r="D64" s="8"/>
      <c r="E64" s="8">
        <f t="shared" si="12"/>
        <v>0</v>
      </c>
      <c r="F64" s="8"/>
      <c r="G64" s="8"/>
      <c r="H64" s="8"/>
      <c r="I64" s="9"/>
      <c r="J64" s="9"/>
      <c r="K64" s="8"/>
      <c r="L64" s="8">
        <v>12500</v>
      </c>
      <c r="M64" s="8">
        <v>7500</v>
      </c>
      <c r="N64" s="8"/>
      <c r="O64" s="8"/>
      <c r="P64" s="8"/>
      <c r="Q64" s="8"/>
      <c r="R64" s="8"/>
      <c r="S64" s="14"/>
      <c r="T64" s="8"/>
      <c r="U64" s="8"/>
      <c r="V64" s="8"/>
      <c r="W64" s="8"/>
      <c r="X64" s="8"/>
      <c r="Y64" s="8"/>
      <c r="Z64" s="8"/>
      <c r="AA64" s="8"/>
      <c r="AB64" s="9"/>
      <c r="AC64" s="9"/>
      <c r="AD64" s="11">
        <f t="shared" si="13"/>
        <v>20000</v>
      </c>
      <c r="AE64" s="11">
        <f t="shared" si="21"/>
        <v>20000</v>
      </c>
      <c r="AF64" s="21"/>
    </row>
    <row r="65" spans="1:32" ht="11.25">
      <c r="A65" s="50" t="s">
        <v>54</v>
      </c>
      <c r="B65" s="8"/>
      <c r="C65" s="8"/>
      <c r="D65" s="8"/>
      <c r="E65" s="8">
        <f t="shared" si="12"/>
        <v>0</v>
      </c>
      <c r="F65" s="8"/>
      <c r="G65" s="8"/>
      <c r="H65" s="8"/>
      <c r="I65" s="9"/>
      <c r="J65" s="9"/>
      <c r="K65" s="8"/>
      <c r="L65" s="8"/>
      <c r="M65" s="8">
        <v>2000</v>
      </c>
      <c r="N65" s="8"/>
      <c r="O65" s="8"/>
      <c r="P65" s="8"/>
      <c r="Q65" s="8"/>
      <c r="R65" s="8"/>
      <c r="S65" s="14"/>
      <c r="T65" s="8"/>
      <c r="U65" s="8"/>
      <c r="V65" s="8"/>
      <c r="W65" s="8"/>
      <c r="X65" s="8"/>
      <c r="Y65" s="8"/>
      <c r="Z65" s="8"/>
      <c r="AA65" s="8"/>
      <c r="AB65" s="9"/>
      <c r="AC65" s="9"/>
      <c r="AD65" s="11">
        <f t="shared" si="13"/>
        <v>2000</v>
      </c>
      <c r="AE65" s="11">
        <f t="shared" si="21"/>
        <v>2000</v>
      </c>
      <c r="AF65" s="21"/>
    </row>
    <row r="66" spans="1:32" ht="11.25">
      <c r="A66" s="50" t="s">
        <v>71</v>
      </c>
      <c r="B66" s="1"/>
      <c r="C66" s="1"/>
      <c r="D66" s="1"/>
      <c r="E66" s="1">
        <f t="shared" si="12"/>
        <v>0</v>
      </c>
      <c r="F66" s="1"/>
      <c r="G66" s="1"/>
      <c r="H66" s="1"/>
      <c r="I66" s="11"/>
      <c r="J66" s="11"/>
      <c r="K66" s="1"/>
      <c r="L66" s="1"/>
      <c r="M66" s="8">
        <v>300</v>
      </c>
      <c r="N66" s="8"/>
      <c r="O66" s="8">
        <v>700</v>
      </c>
      <c r="P66" s="1"/>
      <c r="Q66" s="1"/>
      <c r="R66" s="1"/>
      <c r="S66" s="13"/>
      <c r="T66" s="1"/>
      <c r="U66" s="1"/>
      <c r="V66" s="1"/>
      <c r="W66" s="1"/>
      <c r="X66" s="1"/>
      <c r="Y66" s="1"/>
      <c r="Z66" s="1"/>
      <c r="AA66" s="1"/>
      <c r="AB66" s="11"/>
      <c r="AC66" s="11"/>
      <c r="AD66" s="11">
        <f t="shared" si="13"/>
        <v>1000</v>
      </c>
      <c r="AE66" s="11">
        <f t="shared" si="21"/>
        <v>1000</v>
      </c>
      <c r="AF66" s="20"/>
    </row>
    <row r="67" spans="1:32" ht="11.25">
      <c r="A67" s="50" t="s">
        <v>72</v>
      </c>
      <c r="B67" s="1"/>
      <c r="C67" s="1"/>
      <c r="D67" s="1"/>
      <c r="E67" s="1">
        <f t="shared" si="12"/>
        <v>0</v>
      </c>
      <c r="F67" s="1"/>
      <c r="G67" s="1"/>
      <c r="H67" s="1"/>
      <c r="I67" s="11"/>
      <c r="J67" s="11"/>
      <c r="K67" s="1"/>
      <c r="L67" s="1"/>
      <c r="M67" s="1"/>
      <c r="N67" s="1"/>
      <c r="O67" s="1"/>
      <c r="P67" s="1"/>
      <c r="Q67" s="1"/>
      <c r="R67" s="1"/>
      <c r="S67" s="14">
        <v>2000</v>
      </c>
      <c r="T67" s="1"/>
      <c r="U67" s="1"/>
      <c r="V67" s="1"/>
      <c r="W67" s="1"/>
      <c r="X67" s="1"/>
      <c r="Y67" s="1"/>
      <c r="Z67" s="1"/>
      <c r="AA67" s="1"/>
      <c r="AB67" s="11"/>
      <c r="AC67" s="11"/>
      <c r="AD67" s="11">
        <f t="shared" si="13"/>
        <v>2000</v>
      </c>
      <c r="AE67" s="11">
        <f t="shared" si="21"/>
        <v>2000</v>
      </c>
      <c r="AF67" s="20"/>
    </row>
    <row r="68" spans="1:32" ht="11.25">
      <c r="A68" s="50" t="s">
        <v>32</v>
      </c>
      <c r="B68" s="1">
        <v>7</v>
      </c>
      <c r="C68" s="1"/>
      <c r="D68" s="1">
        <v>640</v>
      </c>
      <c r="E68" s="1">
        <f aca="true" t="shared" si="22" ref="E68:E88">SUM(C68:D68)</f>
        <v>640</v>
      </c>
      <c r="F68" s="1">
        <v>284997</v>
      </c>
      <c r="G68" s="1"/>
      <c r="H68" s="1">
        <v>21667</v>
      </c>
      <c r="I68" s="9">
        <f>(F68+H68)*15.4%</f>
        <v>47226.256</v>
      </c>
      <c r="J68" s="9">
        <f>(F68+H68)*2.45%</f>
        <v>7513.268</v>
      </c>
      <c r="K68" s="1">
        <v>0</v>
      </c>
      <c r="L68" s="14">
        <v>0</v>
      </c>
      <c r="M68" s="14">
        <v>1260</v>
      </c>
      <c r="N68" s="14">
        <v>0</v>
      </c>
      <c r="O68" s="14">
        <v>0</v>
      </c>
      <c r="P68" s="14">
        <v>2563</v>
      </c>
      <c r="Q68" s="14">
        <v>0</v>
      </c>
      <c r="R68" s="14">
        <v>0</v>
      </c>
      <c r="S68" s="14">
        <v>500</v>
      </c>
      <c r="T68" s="14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16963</v>
      </c>
      <c r="AA68" s="1">
        <v>0</v>
      </c>
      <c r="AB68" s="11">
        <v>0</v>
      </c>
      <c r="AC68" s="11"/>
      <c r="AD68" s="11">
        <f aca="true" t="shared" si="23" ref="AD68:AD88">AB68+AA68+Y68+X68+W68+V68+U68+T68+S68+R68+Q68+O68+M68+L68+C68+D68+K68+AC68</f>
        <v>2400</v>
      </c>
      <c r="AE68" s="11">
        <f t="shared" si="21"/>
        <v>383329.524</v>
      </c>
      <c r="AF68" s="20"/>
    </row>
    <row r="69" spans="1:32" ht="11.25">
      <c r="A69" s="49">
        <v>80195</v>
      </c>
      <c r="B69" s="15">
        <f>SUM(B60:B68)</f>
        <v>7</v>
      </c>
      <c r="C69" s="15">
        <f>SUM(C60:C68)</f>
        <v>0</v>
      </c>
      <c r="D69" s="15">
        <f>SUM(D60:D68)</f>
        <v>640</v>
      </c>
      <c r="E69" s="15">
        <f t="shared" si="22"/>
        <v>640</v>
      </c>
      <c r="F69" s="15">
        <f aca="true" t="shared" si="24" ref="F69:AC69">SUM(F60:F68)</f>
        <v>284997</v>
      </c>
      <c r="G69" s="15">
        <f t="shared" si="24"/>
        <v>0</v>
      </c>
      <c r="H69" s="15">
        <f t="shared" si="24"/>
        <v>21667</v>
      </c>
      <c r="I69" s="15">
        <f t="shared" si="24"/>
        <v>47226.256</v>
      </c>
      <c r="J69" s="15">
        <f t="shared" si="24"/>
        <v>7513.268</v>
      </c>
      <c r="K69" s="15">
        <f t="shared" si="24"/>
        <v>0</v>
      </c>
      <c r="L69" s="15">
        <f t="shared" si="24"/>
        <v>12500</v>
      </c>
      <c r="M69" s="15">
        <f t="shared" si="24"/>
        <v>14660</v>
      </c>
      <c r="N69" s="15">
        <f t="shared" si="24"/>
        <v>0</v>
      </c>
      <c r="O69" s="15">
        <f t="shared" si="24"/>
        <v>700</v>
      </c>
      <c r="P69" s="15">
        <f t="shared" si="24"/>
        <v>2563</v>
      </c>
      <c r="Q69" s="15">
        <f t="shared" si="24"/>
        <v>0</v>
      </c>
      <c r="R69" s="15">
        <f t="shared" si="24"/>
        <v>0</v>
      </c>
      <c r="S69" s="15">
        <f t="shared" si="24"/>
        <v>5500</v>
      </c>
      <c r="T69" s="15">
        <f t="shared" si="24"/>
        <v>0</v>
      </c>
      <c r="U69" s="15">
        <f t="shared" si="24"/>
        <v>0</v>
      </c>
      <c r="V69" s="15">
        <f t="shared" si="24"/>
        <v>0</v>
      </c>
      <c r="W69" s="15">
        <f t="shared" si="24"/>
        <v>0</v>
      </c>
      <c r="X69" s="15">
        <f t="shared" si="24"/>
        <v>0</v>
      </c>
      <c r="Y69" s="15">
        <f t="shared" si="24"/>
        <v>0</v>
      </c>
      <c r="Z69" s="15">
        <f t="shared" si="24"/>
        <v>16963</v>
      </c>
      <c r="AA69" s="15">
        <f t="shared" si="24"/>
        <v>0</v>
      </c>
      <c r="AB69" s="15">
        <f t="shared" si="24"/>
        <v>0</v>
      </c>
      <c r="AC69" s="15">
        <f t="shared" si="24"/>
        <v>5000</v>
      </c>
      <c r="AD69" s="11">
        <f t="shared" si="23"/>
        <v>39000</v>
      </c>
      <c r="AE69" s="15">
        <f>SUM(AE60:AE68)</f>
        <v>419929.524</v>
      </c>
      <c r="AF69" s="15">
        <f>SUM(AF68:AF68)</f>
        <v>0</v>
      </c>
    </row>
    <row r="70" spans="1:32" ht="12" thickBot="1">
      <c r="A70" s="55" t="s">
        <v>73</v>
      </c>
      <c r="B70" s="16">
        <f>B7+B13+B18+B34+B37+B39+B51+B52+B56+B57+B58+B59+B69+B9</f>
        <v>10699</v>
      </c>
      <c r="C70" s="16">
        <f>C7+C13+C18+C34+C37+C39+C51+C52+C56+C57+C58+C59+C69+C9</f>
        <v>53096</v>
      </c>
      <c r="D70" s="16">
        <f>D7+D13+D18+D34+D37+D39+D51+D52+D56+D57+D58+D59+D69+D9</f>
        <v>137218</v>
      </c>
      <c r="E70" s="16">
        <f t="shared" si="22"/>
        <v>190314</v>
      </c>
      <c r="F70" s="16">
        <f aca="true" t="shared" si="25" ref="F70:AC70">F7+F13+F18+F34+F37+F39+F51+F52+F56+F57+F58+F59+F69+F9</f>
        <v>57845712</v>
      </c>
      <c r="G70" s="16">
        <f t="shared" si="25"/>
        <v>0</v>
      </c>
      <c r="H70" s="16">
        <f t="shared" si="25"/>
        <v>4767353</v>
      </c>
      <c r="I70" s="16">
        <f t="shared" si="25"/>
        <v>9638159.453999998</v>
      </c>
      <c r="J70" s="16">
        <f t="shared" si="25"/>
        <v>1533343.2995</v>
      </c>
      <c r="K70" s="16">
        <f t="shared" si="25"/>
        <v>168700</v>
      </c>
      <c r="L70" s="16">
        <f t="shared" si="25"/>
        <v>135764</v>
      </c>
      <c r="M70" s="16">
        <f t="shared" si="25"/>
        <v>650229</v>
      </c>
      <c r="N70" s="16">
        <f t="shared" si="25"/>
        <v>0</v>
      </c>
      <c r="O70" s="16">
        <f t="shared" si="25"/>
        <v>126584</v>
      </c>
      <c r="P70" s="16">
        <f t="shared" si="25"/>
        <v>3670867</v>
      </c>
      <c r="Q70" s="16">
        <f t="shared" si="25"/>
        <v>1218388</v>
      </c>
      <c r="R70" s="16">
        <f t="shared" si="25"/>
        <v>88791</v>
      </c>
      <c r="S70" s="16">
        <f t="shared" si="25"/>
        <v>843883</v>
      </c>
      <c r="T70" s="16">
        <f t="shared" si="25"/>
        <v>33061</v>
      </c>
      <c r="U70" s="16">
        <f t="shared" si="25"/>
        <v>6720</v>
      </c>
      <c r="V70" s="16">
        <f t="shared" si="25"/>
        <v>108008</v>
      </c>
      <c r="W70" s="16">
        <f t="shared" si="25"/>
        <v>0</v>
      </c>
      <c r="X70" s="16">
        <f t="shared" si="25"/>
        <v>29748</v>
      </c>
      <c r="Y70" s="16">
        <f t="shared" si="25"/>
        <v>88150</v>
      </c>
      <c r="Z70" s="16">
        <f t="shared" si="25"/>
        <v>3343977</v>
      </c>
      <c r="AA70" s="16">
        <f t="shared" si="25"/>
        <v>14656</v>
      </c>
      <c r="AB70" s="16">
        <f t="shared" si="25"/>
        <v>3000</v>
      </c>
      <c r="AC70" s="16">
        <f t="shared" si="25"/>
        <v>255000</v>
      </c>
      <c r="AD70" s="11">
        <f t="shared" si="23"/>
        <v>3960996</v>
      </c>
      <c r="AE70" s="16">
        <f>AE7+AE13+AE18+AE34+AE37+AE39+AE51+AE52+AE56+AE57+AE58+AE59+AE69+AE9</f>
        <v>84760407.75349998</v>
      </c>
      <c r="AF70" s="16"/>
    </row>
    <row r="71" spans="1:32" ht="11.25">
      <c r="A71" s="54" t="s">
        <v>74</v>
      </c>
      <c r="B71" s="1">
        <v>100</v>
      </c>
      <c r="C71" s="11">
        <v>0</v>
      </c>
      <c r="D71" s="11">
        <v>235</v>
      </c>
      <c r="E71" s="11">
        <f t="shared" si="22"/>
        <v>235</v>
      </c>
      <c r="F71" s="11">
        <v>146067</v>
      </c>
      <c r="G71" s="11"/>
      <c r="H71" s="11">
        <v>9650</v>
      </c>
      <c r="I71" s="11">
        <f>(F71+H71)*15.4%</f>
        <v>23980.418</v>
      </c>
      <c r="J71" s="11">
        <f>(F71+H71)*2.45%</f>
        <v>3815.0665000000004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3075</v>
      </c>
      <c r="Q71" s="11">
        <v>0</v>
      </c>
      <c r="R71" s="11">
        <v>0</v>
      </c>
      <c r="S71" s="11">
        <v>315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5148</v>
      </c>
      <c r="AA71" s="11">
        <v>0</v>
      </c>
      <c r="AB71" s="11">
        <v>0</v>
      </c>
      <c r="AC71" s="11"/>
      <c r="AD71" s="11">
        <f t="shared" si="23"/>
        <v>550</v>
      </c>
      <c r="AE71" s="11">
        <f>F71+H71+I71+J71+P71+Z71+AD71</f>
        <v>192285.4845</v>
      </c>
      <c r="AF71" s="20">
        <f aca="true" t="shared" si="26" ref="AF71:AF76">AE71/12/B71</f>
        <v>160.23790375</v>
      </c>
    </row>
    <row r="72" spans="1:32" ht="11.25">
      <c r="A72" s="46" t="s">
        <v>75</v>
      </c>
      <c r="B72" s="8">
        <v>10</v>
      </c>
      <c r="C72" s="9">
        <v>2499</v>
      </c>
      <c r="D72" s="9">
        <v>491</v>
      </c>
      <c r="E72" s="9">
        <f t="shared" si="22"/>
        <v>2990</v>
      </c>
      <c r="F72" s="9">
        <f>368451-10236</f>
        <v>358215</v>
      </c>
      <c r="G72" s="9"/>
      <c r="H72" s="9">
        <v>26490</v>
      </c>
      <c r="I72" s="9">
        <f>(F72+H72)*15.4%</f>
        <v>59244.57</v>
      </c>
      <c r="J72" s="9">
        <f>(F72+H72)*2.45%</f>
        <v>9425.272500000001</v>
      </c>
      <c r="K72" s="9">
        <v>0</v>
      </c>
      <c r="L72" s="9">
        <v>0</v>
      </c>
      <c r="M72" s="9">
        <v>17000</v>
      </c>
      <c r="N72" s="9">
        <v>0</v>
      </c>
      <c r="O72" s="9">
        <v>2000</v>
      </c>
      <c r="P72" s="9">
        <v>95439</v>
      </c>
      <c r="Q72" s="9">
        <f>7000+60000</f>
        <v>67000</v>
      </c>
      <c r="R72" s="9">
        <v>4000</v>
      </c>
      <c r="S72" s="9">
        <v>11695</v>
      </c>
      <c r="T72" s="9">
        <v>1000</v>
      </c>
      <c r="U72" s="9">
        <v>1100</v>
      </c>
      <c r="V72" s="9">
        <v>3500</v>
      </c>
      <c r="W72" s="9">
        <v>0</v>
      </c>
      <c r="X72" s="9">
        <v>0</v>
      </c>
      <c r="Y72" s="9">
        <v>0</v>
      </c>
      <c r="Z72" s="9">
        <v>18377</v>
      </c>
      <c r="AA72" s="9">
        <v>0</v>
      </c>
      <c r="AB72" s="11">
        <v>0</v>
      </c>
      <c r="AC72" s="11"/>
      <c r="AD72" s="11">
        <f t="shared" si="23"/>
        <v>110285</v>
      </c>
      <c r="AE72" s="11">
        <f>F72+H72+I72+J72+P72+Z72+AD72</f>
        <v>677475.8425</v>
      </c>
      <c r="AF72" s="20">
        <f t="shared" si="26"/>
        <v>5645.632020833334</v>
      </c>
    </row>
    <row r="73" spans="1:32" ht="11.25">
      <c r="A73" s="46" t="s">
        <v>76</v>
      </c>
      <c r="B73" s="8">
        <v>15</v>
      </c>
      <c r="C73" s="9">
        <v>2700</v>
      </c>
      <c r="D73" s="9">
        <v>550</v>
      </c>
      <c r="E73" s="9">
        <f t="shared" si="22"/>
        <v>3250</v>
      </c>
      <c r="F73" s="9">
        <v>411954</v>
      </c>
      <c r="G73" s="9"/>
      <c r="H73" s="9">
        <v>33667</v>
      </c>
      <c r="I73" s="9">
        <f>(F73+H73)*15.4%</f>
        <v>68625.634</v>
      </c>
      <c r="J73" s="9">
        <f>(F73+H73)*2.45%</f>
        <v>10917.7145</v>
      </c>
      <c r="K73" s="9">
        <v>0</v>
      </c>
      <c r="L73" s="9">
        <v>0</v>
      </c>
      <c r="M73" s="9">
        <v>20069</v>
      </c>
      <c r="N73" s="9">
        <v>0</v>
      </c>
      <c r="O73" s="9">
        <v>1868</v>
      </c>
      <c r="P73" s="9">
        <v>116294</v>
      </c>
      <c r="Q73" s="9">
        <f>2600+100000</f>
        <v>102600</v>
      </c>
      <c r="R73" s="9">
        <v>3089</v>
      </c>
      <c r="S73" s="9">
        <f>23228+21075</f>
        <v>44303</v>
      </c>
      <c r="T73" s="9">
        <v>984</v>
      </c>
      <c r="U73" s="9">
        <v>0</v>
      </c>
      <c r="V73" s="9">
        <v>4512</v>
      </c>
      <c r="W73" s="9">
        <v>0</v>
      </c>
      <c r="X73" s="9">
        <v>800</v>
      </c>
      <c r="Y73" s="9">
        <v>750</v>
      </c>
      <c r="Z73" s="9">
        <v>18059</v>
      </c>
      <c r="AA73" s="9">
        <v>600</v>
      </c>
      <c r="AB73" s="11">
        <v>0</v>
      </c>
      <c r="AC73" s="11"/>
      <c r="AD73" s="11">
        <f t="shared" si="23"/>
        <v>182825</v>
      </c>
      <c r="AE73" s="11">
        <f>F73+H73+I73+J73+P73+Z73+AD73</f>
        <v>842342.3485</v>
      </c>
      <c r="AF73" s="20">
        <f t="shared" si="26"/>
        <v>4679.679713888889</v>
      </c>
    </row>
    <row r="74" spans="1:32" ht="11.25">
      <c r="A74" s="47" t="s">
        <v>77</v>
      </c>
      <c r="B74" s="11">
        <f>B72+B73</f>
        <v>25</v>
      </c>
      <c r="C74" s="11">
        <f>C72+C73</f>
        <v>5199</v>
      </c>
      <c r="D74" s="11">
        <f>D72+D73</f>
        <v>1041</v>
      </c>
      <c r="E74" s="11">
        <f t="shared" si="22"/>
        <v>6240</v>
      </c>
      <c r="F74" s="11">
        <f aca="true" t="shared" si="27" ref="F74:AC74">F72+F73</f>
        <v>770169</v>
      </c>
      <c r="G74" s="11">
        <f t="shared" si="27"/>
        <v>0</v>
      </c>
      <c r="H74" s="11">
        <f t="shared" si="27"/>
        <v>60157</v>
      </c>
      <c r="I74" s="11">
        <f t="shared" si="27"/>
        <v>127870.204</v>
      </c>
      <c r="J74" s="11">
        <f t="shared" si="27"/>
        <v>20342.987</v>
      </c>
      <c r="K74" s="11">
        <f t="shared" si="27"/>
        <v>0</v>
      </c>
      <c r="L74" s="11">
        <f t="shared" si="27"/>
        <v>0</v>
      </c>
      <c r="M74" s="11">
        <f t="shared" si="27"/>
        <v>37069</v>
      </c>
      <c r="N74" s="11">
        <f t="shared" si="27"/>
        <v>0</v>
      </c>
      <c r="O74" s="11">
        <f t="shared" si="27"/>
        <v>3868</v>
      </c>
      <c r="P74" s="11">
        <f t="shared" si="27"/>
        <v>211733</v>
      </c>
      <c r="Q74" s="11">
        <f t="shared" si="27"/>
        <v>169600</v>
      </c>
      <c r="R74" s="11">
        <f t="shared" si="27"/>
        <v>7089</v>
      </c>
      <c r="S74" s="11">
        <f t="shared" si="27"/>
        <v>55998</v>
      </c>
      <c r="T74" s="11">
        <f t="shared" si="27"/>
        <v>1984</v>
      </c>
      <c r="U74" s="11">
        <f t="shared" si="27"/>
        <v>1100</v>
      </c>
      <c r="V74" s="11">
        <f t="shared" si="27"/>
        <v>8012</v>
      </c>
      <c r="W74" s="11">
        <f t="shared" si="27"/>
        <v>0</v>
      </c>
      <c r="X74" s="11">
        <f t="shared" si="27"/>
        <v>800</v>
      </c>
      <c r="Y74" s="11">
        <f t="shared" si="27"/>
        <v>750</v>
      </c>
      <c r="Z74" s="11">
        <f t="shared" si="27"/>
        <v>36436</v>
      </c>
      <c r="AA74" s="11">
        <f t="shared" si="27"/>
        <v>600</v>
      </c>
      <c r="AB74" s="11">
        <f t="shared" si="27"/>
        <v>0</v>
      </c>
      <c r="AC74" s="11">
        <f t="shared" si="27"/>
        <v>0</v>
      </c>
      <c r="AD74" s="11">
        <f t="shared" si="23"/>
        <v>293110</v>
      </c>
      <c r="AE74" s="11">
        <f>AE72+AE73</f>
        <v>1519818.191</v>
      </c>
      <c r="AF74" s="20">
        <f t="shared" si="26"/>
        <v>5066.060636666667</v>
      </c>
    </row>
    <row r="75" spans="1:32" ht="11.25">
      <c r="A75" s="46" t="s">
        <v>78</v>
      </c>
      <c r="B75" s="9">
        <v>2</v>
      </c>
      <c r="C75" s="9">
        <v>0</v>
      </c>
      <c r="D75" s="9">
        <v>0</v>
      </c>
      <c r="E75" s="9">
        <f t="shared" si="22"/>
        <v>0</v>
      </c>
      <c r="F75" s="9">
        <v>8584</v>
      </c>
      <c r="G75" s="9"/>
      <c r="H75" s="9">
        <v>2057</v>
      </c>
      <c r="I75" s="9">
        <f>(F75+H75)*15.4%</f>
        <v>1638.714</v>
      </c>
      <c r="J75" s="9">
        <f>(F75+H75)*2.45%</f>
        <v>260.7045</v>
      </c>
      <c r="K75" s="9">
        <v>0</v>
      </c>
      <c r="L75" s="9">
        <v>0</v>
      </c>
      <c r="M75" s="9">
        <v>360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/>
      <c r="AD75" s="9">
        <f t="shared" si="23"/>
        <v>360</v>
      </c>
      <c r="AE75" s="9">
        <f>F75+H75+I75+J75+P75+Z75+AD75</f>
        <v>12900.4185</v>
      </c>
      <c r="AF75" s="22">
        <f t="shared" si="26"/>
        <v>537.5174375</v>
      </c>
    </row>
    <row r="76" spans="1:32" ht="11.25">
      <c r="A76" s="46" t="s">
        <v>39</v>
      </c>
      <c r="B76" s="9">
        <v>5</v>
      </c>
      <c r="C76" s="9">
        <v>0</v>
      </c>
      <c r="D76" s="9">
        <v>0</v>
      </c>
      <c r="E76" s="9">
        <f t="shared" si="22"/>
        <v>0</v>
      </c>
      <c r="F76" s="9">
        <v>10236</v>
      </c>
      <c r="G76" s="9"/>
      <c r="H76" s="9">
        <v>0</v>
      </c>
      <c r="I76" s="9">
        <f>(F76+H76)*15.4%</f>
        <v>1576.344</v>
      </c>
      <c r="J76" s="9">
        <f>(F76+H76)*2.45%</f>
        <v>250.782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/>
      <c r="AD76" s="9">
        <f t="shared" si="23"/>
        <v>0</v>
      </c>
      <c r="AE76" s="9">
        <f>F76+H76+I76+J76+P76+Z76+AD76</f>
        <v>12063.126</v>
      </c>
      <c r="AF76" s="22">
        <f t="shared" si="26"/>
        <v>201.0521</v>
      </c>
    </row>
    <row r="77" spans="1:32" s="17" customFormat="1" ht="21">
      <c r="A77" s="47" t="s">
        <v>79</v>
      </c>
      <c r="B77" s="11">
        <f>SUM(B75:B76)</f>
        <v>7</v>
      </c>
      <c r="C77" s="11">
        <f>SUM(C75:C76)</f>
        <v>0</v>
      </c>
      <c r="D77" s="11">
        <f>SUM(D75:D76)</f>
        <v>0</v>
      </c>
      <c r="E77" s="11">
        <f t="shared" si="22"/>
        <v>0</v>
      </c>
      <c r="F77" s="11">
        <f aca="true" t="shared" si="28" ref="F77:AB77">SUM(F75:F76)</f>
        <v>18820</v>
      </c>
      <c r="G77" s="11">
        <f t="shared" si="28"/>
        <v>0</v>
      </c>
      <c r="H77" s="11">
        <f t="shared" si="28"/>
        <v>2057</v>
      </c>
      <c r="I77" s="11">
        <f t="shared" si="28"/>
        <v>3215.058</v>
      </c>
      <c r="J77" s="11">
        <f t="shared" si="28"/>
        <v>511.4865</v>
      </c>
      <c r="K77" s="11">
        <f t="shared" si="28"/>
        <v>0</v>
      </c>
      <c r="L77" s="11">
        <f t="shared" si="28"/>
        <v>0</v>
      </c>
      <c r="M77" s="11">
        <f t="shared" si="28"/>
        <v>360</v>
      </c>
      <c r="N77" s="11">
        <f t="shared" si="28"/>
        <v>0</v>
      </c>
      <c r="O77" s="11">
        <f t="shared" si="28"/>
        <v>0</v>
      </c>
      <c r="P77" s="11">
        <f t="shared" si="28"/>
        <v>0</v>
      </c>
      <c r="Q77" s="11">
        <f t="shared" si="28"/>
        <v>0</v>
      </c>
      <c r="R77" s="11">
        <f t="shared" si="28"/>
        <v>0</v>
      </c>
      <c r="S77" s="11">
        <f t="shared" si="28"/>
        <v>0</v>
      </c>
      <c r="T77" s="11">
        <f t="shared" si="28"/>
        <v>0</v>
      </c>
      <c r="U77" s="11">
        <f t="shared" si="28"/>
        <v>0</v>
      </c>
      <c r="V77" s="11">
        <f t="shared" si="28"/>
        <v>0</v>
      </c>
      <c r="W77" s="11">
        <f t="shared" si="28"/>
        <v>0</v>
      </c>
      <c r="X77" s="11">
        <f t="shared" si="28"/>
        <v>0</v>
      </c>
      <c r="Y77" s="11">
        <f t="shared" si="28"/>
        <v>0</v>
      </c>
      <c r="Z77" s="11">
        <f t="shared" si="28"/>
        <v>0</v>
      </c>
      <c r="AA77" s="11">
        <f t="shared" si="28"/>
        <v>0</v>
      </c>
      <c r="AB77" s="11">
        <f t="shared" si="28"/>
        <v>0</v>
      </c>
      <c r="AC77" s="11"/>
      <c r="AD77" s="11">
        <f t="shared" si="23"/>
        <v>360</v>
      </c>
      <c r="AE77" s="11">
        <f>SUM(AE75:AE76)</f>
        <v>24963.5445</v>
      </c>
      <c r="AF77" s="11">
        <f>SUM(AF75:AF76)</f>
        <v>738.5695375</v>
      </c>
    </row>
    <row r="78" spans="1:32" ht="11.25">
      <c r="A78" s="46" t="s">
        <v>80</v>
      </c>
      <c r="B78" s="8">
        <v>6254</v>
      </c>
      <c r="C78" s="9">
        <v>0</v>
      </c>
      <c r="D78" s="9">
        <v>2764</v>
      </c>
      <c r="E78" s="9">
        <f t="shared" si="22"/>
        <v>2764</v>
      </c>
      <c r="F78" s="9">
        <f>1037388-50000</f>
        <v>987388</v>
      </c>
      <c r="G78" s="9"/>
      <c r="H78" s="9">
        <v>81431</v>
      </c>
      <c r="I78" s="9">
        <f>(F78+H78)*15.4%</f>
        <v>164598.126</v>
      </c>
      <c r="J78" s="9">
        <f>(F78+H78)*2.45%</f>
        <v>26186.0655</v>
      </c>
      <c r="K78" s="9">
        <v>26400</v>
      </c>
      <c r="L78" s="9">
        <v>0</v>
      </c>
      <c r="M78" s="9">
        <f>35500-16762</f>
        <v>18738</v>
      </c>
      <c r="N78" s="9">
        <v>0</v>
      </c>
      <c r="O78" s="9">
        <f>4000-2000</f>
        <v>2000</v>
      </c>
      <c r="P78" s="9">
        <v>44723</v>
      </c>
      <c r="Q78" s="9">
        <v>2000</v>
      </c>
      <c r="R78" s="9">
        <v>2000</v>
      </c>
      <c r="S78" s="9">
        <v>12500</v>
      </c>
      <c r="T78" s="9">
        <v>1000</v>
      </c>
      <c r="U78" s="9">
        <v>0</v>
      </c>
      <c r="V78" s="9">
        <v>5794</v>
      </c>
      <c r="W78" s="9">
        <v>0</v>
      </c>
      <c r="X78" s="9">
        <v>3000</v>
      </c>
      <c r="Y78" s="9">
        <v>3000</v>
      </c>
      <c r="Z78" s="9">
        <v>62451</v>
      </c>
      <c r="AA78" s="9">
        <v>1000</v>
      </c>
      <c r="AB78" s="11">
        <v>0</v>
      </c>
      <c r="AC78" s="11"/>
      <c r="AD78" s="11">
        <f t="shared" si="23"/>
        <v>80196</v>
      </c>
      <c r="AE78" s="11">
        <f>F78+H78+I78+J78+P78+Z78+AD78</f>
        <v>1446973.1915</v>
      </c>
      <c r="AF78" s="20">
        <f aca="true" t="shared" si="29" ref="AF78:AF85">AE78/12/B78</f>
        <v>19.28063627944782</v>
      </c>
    </row>
    <row r="79" spans="1:32" ht="11.25">
      <c r="A79" s="46" t="s">
        <v>81</v>
      </c>
      <c r="B79" s="8">
        <v>7398</v>
      </c>
      <c r="C79" s="9">
        <v>500</v>
      </c>
      <c r="D79" s="9">
        <v>2378</v>
      </c>
      <c r="E79" s="9">
        <f t="shared" si="22"/>
        <v>2878</v>
      </c>
      <c r="F79" s="9">
        <f>950925-50000</f>
        <v>900925</v>
      </c>
      <c r="G79" s="9"/>
      <c r="H79" s="9">
        <v>70656</v>
      </c>
      <c r="I79" s="9">
        <f>(F79+H79)*15.4%</f>
        <v>149623.474</v>
      </c>
      <c r="J79" s="9">
        <f>(F79+H79)*2.45%</f>
        <v>23803.734500000002</v>
      </c>
      <c r="K79" s="9">
        <v>0</v>
      </c>
      <c r="L79" s="9">
        <v>0</v>
      </c>
      <c r="M79" s="9">
        <v>16078</v>
      </c>
      <c r="N79" s="9">
        <v>0</v>
      </c>
      <c r="O79" s="9">
        <v>5000</v>
      </c>
      <c r="P79" s="9">
        <v>32230</v>
      </c>
      <c r="Q79" s="9">
        <v>5000</v>
      </c>
      <c r="R79" s="9">
        <v>1800</v>
      </c>
      <c r="S79" s="9">
        <v>10676</v>
      </c>
      <c r="T79" s="9">
        <v>1200</v>
      </c>
      <c r="U79" s="9">
        <v>0</v>
      </c>
      <c r="V79" s="9">
        <v>8000</v>
      </c>
      <c r="W79" s="9">
        <v>0</v>
      </c>
      <c r="X79" s="9">
        <v>4800</v>
      </c>
      <c r="Y79" s="9">
        <v>3200</v>
      </c>
      <c r="Z79" s="9">
        <v>53493</v>
      </c>
      <c r="AA79" s="9">
        <v>3800</v>
      </c>
      <c r="AB79" s="11">
        <v>0</v>
      </c>
      <c r="AC79" s="11"/>
      <c r="AD79" s="11">
        <f t="shared" si="23"/>
        <v>62432</v>
      </c>
      <c r="AE79" s="11">
        <f>F79+H79+I79+J79+P79+Z79+AD79</f>
        <v>1293163.2085</v>
      </c>
      <c r="AF79" s="20">
        <f t="shared" si="29"/>
        <v>14.566585659412453</v>
      </c>
    </row>
    <row r="80" spans="1:32" ht="11.25">
      <c r="A80" s="46" t="s">
        <v>82</v>
      </c>
      <c r="B80" s="8">
        <v>4843</v>
      </c>
      <c r="C80" s="9">
        <v>0</v>
      </c>
      <c r="D80" s="9">
        <v>2197</v>
      </c>
      <c r="E80" s="9">
        <f t="shared" si="22"/>
        <v>2197</v>
      </c>
      <c r="F80" s="9">
        <f>850076-50000</f>
        <v>800076</v>
      </c>
      <c r="G80" s="9"/>
      <c r="H80" s="9">
        <v>68145</v>
      </c>
      <c r="I80" s="9">
        <f>(F80+H80)*15.4%</f>
        <v>133706.03399999999</v>
      </c>
      <c r="J80" s="9">
        <f>(F80+H80)*2.45%</f>
        <v>21271.414500000003</v>
      </c>
      <c r="K80" s="9">
        <v>0</v>
      </c>
      <c r="L80" s="9">
        <v>0</v>
      </c>
      <c r="M80" s="9">
        <v>13671</v>
      </c>
      <c r="N80" s="9">
        <v>0</v>
      </c>
      <c r="O80" s="9">
        <v>5773</v>
      </c>
      <c r="P80" s="9">
        <v>15078</v>
      </c>
      <c r="Q80" s="9">
        <v>1500</v>
      </c>
      <c r="R80" s="9">
        <v>1500</v>
      </c>
      <c r="S80" s="9">
        <v>5862</v>
      </c>
      <c r="T80" s="9">
        <v>1000</v>
      </c>
      <c r="U80" s="9">
        <v>0</v>
      </c>
      <c r="V80" s="9">
        <v>5500</v>
      </c>
      <c r="W80" s="9">
        <v>22812</v>
      </c>
      <c r="X80" s="9">
        <v>1500</v>
      </c>
      <c r="Y80" s="9">
        <v>1300</v>
      </c>
      <c r="Z80" s="9">
        <v>47923</v>
      </c>
      <c r="AA80" s="9">
        <v>1500</v>
      </c>
      <c r="AB80" s="11">
        <v>0</v>
      </c>
      <c r="AC80" s="11"/>
      <c r="AD80" s="11">
        <f t="shared" si="23"/>
        <v>64115</v>
      </c>
      <c r="AE80" s="11">
        <f>F80+H80+I80+J80+P80+Z80+AD80</f>
        <v>1150314.4485</v>
      </c>
      <c r="AF80" s="20">
        <f t="shared" si="29"/>
        <v>19.793420890976666</v>
      </c>
    </row>
    <row r="81" spans="1:32" ht="21">
      <c r="A81" s="47" t="s">
        <v>83</v>
      </c>
      <c r="B81" s="11">
        <f>B78+B79+B80</f>
        <v>18495</v>
      </c>
      <c r="C81" s="11">
        <f>C78+C79+C80</f>
        <v>500</v>
      </c>
      <c r="D81" s="11">
        <f>D78+D79+D80</f>
        <v>7339</v>
      </c>
      <c r="E81" s="11">
        <f t="shared" si="22"/>
        <v>7839</v>
      </c>
      <c r="F81" s="11">
        <f aca="true" t="shared" si="30" ref="F81:AC81">F78+F79+F80</f>
        <v>2688389</v>
      </c>
      <c r="G81" s="11">
        <f t="shared" si="30"/>
        <v>0</v>
      </c>
      <c r="H81" s="11">
        <f t="shared" si="30"/>
        <v>220232</v>
      </c>
      <c r="I81" s="11">
        <f t="shared" si="30"/>
        <v>447927.63399999996</v>
      </c>
      <c r="J81" s="11">
        <f t="shared" si="30"/>
        <v>71261.2145</v>
      </c>
      <c r="K81" s="11">
        <f t="shared" si="30"/>
        <v>26400</v>
      </c>
      <c r="L81" s="11">
        <f t="shared" si="30"/>
        <v>0</v>
      </c>
      <c r="M81" s="11">
        <f t="shared" si="30"/>
        <v>48487</v>
      </c>
      <c r="N81" s="11">
        <f t="shared" si="30"/>
        <v>0</v>
      </c>
      <c r="O81" s="11">
        <f t="shared" si="30"/>
        <v>12773</v>
      </c>
      <c r="P81" s="11">
        <f t="shared" si="30"/>
        <v>92031</v>
      </c>
      <c r="Q81" s="11">
        <f t="shared" si="30"/>
        <v>8500</v>
      </c>
      <c r="R81" s="11">
        <f t="shared" si="30"/>
        <v>5300</v>
      </c>
      <c r="S81" s="11">
        <f t="shared" si="30"/>
        <v>29038</v>
      </c>
      <c r="T81" s="11">
        <f t="shared" si="30"/>
        <v>3200</v>
      </c>
      <c r="U81" s="11">
        <f t="shared" si="30"/>
        <v>0</v>
      </c>
      <c r="V81" s="11">
        <f t="shared" si="30"/>
        <v>19294</v>
      </c>
      <c r="W81" s="11">
        <f t="shared" si="30"/>
        <v>22812</v>
      </c>
      <c r="X81" s="11">
        <f t="shared" si="30"/>
        <v>9300</v>
      </c>
      <c r="Y81" s="11">
        <f t="shared" si="30"/>
        <v>7500</v>
      </c>
      <c r="Z81" s="11">
        <f t="shared" si="30"/>
        <v>163867</v>
      </c>
      <c r="AA81" s="11">
        <f t="shared" si="30"/>
        <v>6300</v>
      </c>
      <c r="AB81" s="11">
        <f t="shared" si="30"/>
        <v>0</v>
      </c>
      <c r="AC81" s="11">
        <f t="shared" si="30"/>
        <v>0</v>
      </c>
      <c r="AD81" s="11">
        <f t="shared" si="23"/>
        <v>206743</v>
      </c>
      <c r="AE81" s="11">
        <f>AE78+AE79+AE80</f>
        <v>3890450.8485</v>
      </c>
      <c r="AF81" s="20">
        <f t="shared" si="29"/>
        <v>17.52929101784266</v>
      </c>
    </row>
    <row r="82" spans="1:32" ht="11.25">
      <c r="A82" s="47" t="s">
        <v>84</v>
      </c>
      <c r="B82" s="1">
        <v>1213</v>
      </c>
      <c r="C82" s="11">
        <v>2000</v>
      </c>
      <c r="D82" s="11">
        <v>2640</v>
      </c>
      <c r="E82" s="11">
        <f t="shared" si="22"/>
        <v>4640</v>
      </c>
      <c r="F82" s="11">
        <v>1158110</v>
      </c>
      <c r="G82" s="11"/>
      <c r="H82" s="11">
        <v>86160</v>
      </c>
      <c r="I82" s="11">
        <f>(F82+H82)*15.4%</f>
        <v>191617.58</v>
      </c>
      <c r="J82" s="11">
        <f>(F82+H82)*2.45%</f>
        <v>30484.615</v>
      </c>
      <c r="K82" s="11">
        <v>0</v>
      </c>
      <c r="L82" s="11">
        <v>7000</v>
      </c>
      <c r="M82" s="11">
        <f>39000+1500</f>
        <v>40500</v>
      </c>
      <c r="N82" s="11">
        <v>0</v>
      </c>
      <c r="O82" s="11">
        <f>40000+2000</f>
        <v>42000</v>
      </c>
      <c r="P82" s="11">
        <v>117146</v>
      </c>
      <c r="Q82" s="11">
        <v>2000</v>
      </c>
      <c r="R82" s="11">
        <v>4000</v>
      </c>
      <c r="S82" s="11">
        <v>35532</v>
      </c>
      <c r="T82" s="11">
        <v>1800</v>
      </c>
      <c r="U82" s="11">
        <v>3900</v>
      </c>
      <c r="V82" s="11">
        <v>1700</v>
      </c>
      <c r="W82" s="11">
        <v>0</v>
      </c>
      <c r="X82" s="11">
        <v>1000</v>
      </c>
      <c r="Y82" s="11">
        <v>4000</v>
      </c>
      <c r="Z82" s="11">
        <v>74251</v>
      </c>
      <c r="AA82" s="11">
        <v>600</v>
      </c>
      <c r="AB82" s="11">
        <v>0</v>
      </c>
      <c r="AC82" s="11">
        <v>0</v>
      </c>
      <c r="AD82" s="11">
        <f t="shared" si="23"/>
        <v>148672</v>
      </c>
      <c r="AE82" s="11">
        <f>F82+H82+I82+J82+P82+Z82+AD82</f>
        <v>1806441.195</v>
      </c>
      <c r="AF82" s="20">
        <f t="shared" si="29"/>
        <v>124.10285758450125</v>
      </c>
    </row>
    <row r="83" spans="1:32" ht="11.25">
      <c r="A83" s="46" t="s">
        <v>136</v>
      </c>
      <c r="B83" s="8">
        <v>128</v>
      </c>
      <c r="C83" s="9">
        <v>2000</v>
      </c>
      <c r="D83" s="9">
        <v>986</v>
      </c>
      <c r="E83" s="9">
        <f t="shared" si="22"/>
        <v>2986</v>
      </c>
      <c r="F83" s="9">
        <f>603133-50000</f>
        <v>553133</v>
      </c>
      <c r="G83" s="9"/>
      <c r="H83" s="9">
        <v>50155</v>
      </c>
      <c r="I83" s="9">
        <f>(F83+H83)*15.4%</f>
        <v>92906.352</v>
      </c>
      <c r="J83" s="9">
        <f>(F83+H83)*2.45%</f>
        <v>14780.556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163000</v>
      </c>
      <c r="Q83" s="9">
        <v>0</v>
      </c>
      <c r="R83" s="9">
        <v>0</v>
      </c>
      <c r="S83" s="9">
        <v>32524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34065</v>
      </c>
      <c r="AA83" s="9">
        <v>0</v>
      </c>
      <c r="AB83" s="11">
        <v>0</v>
      </c>
      <c r="AC83" s="11"/>
      <c r="AD83" s="11">
        <f t="shared" si="23"/>
        <v>35510</v>
      </c>
      <c r="AE83" s="11">
        <f>F83+H83+I83+J83+P83+Z83+AD83</f>
        <v>943549.9079999999</v>
      </c>
      <c r="AF83" s="20">
        <f t="shared" si="29"/>
        <v>614.2903046875</v>
      </c>
    </row>
    <row r="84" spans="1:32" ht="11.25">
      <c r="A84" s="46" t="s">
        <v>55</v>
      </c>
      <c r="B84" s="8">
        <v>90</v>
      </c>
      <c r="C84" s="9">
        <v>1500</v>
      </c>
      <c r="D84" s="9">
        <v>692</v>
      </c>
      <c r="E84" s="9">
        <f t="shared" si="22"/>
        <v>2192</v>
      </c>
      <c r="F84" s="9">
        <f>600114-50000</f>
        <v>550114</v>
      </c>
      <c r="G84" s="9"/>
      <c r="H84" s="9">
        <v>47745</v>
      </c>
      <c r="I84" s="9">
        <f>(F84+H84)*15.4%</f>
        <v>92070.286</v>
      </c>
      <c r="J84" s="9">
        <f>(F84+H84)*2.45%</f>
        <v>14647.5455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112890</v>
      </c>
      <c r="Q84" s="9">
        <v>0</v>
      </c>
      <c r="R84" s="9">
        <v>1000</v>
      </c>
      <c r="S84" s="9">
        <v>20160</v>
      </c>
      <c r="T84" s="9">
        <v>1460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31464</v>
      </c>
      <c r="AA84" s="9">
        <v>0</v>
      </c>
      <c r="AB84" s="11">
        <v>0</v>
      </c>
      <c r="AC84" s="11"/>
      <c r="AD84" s="11">
        <f t="shared" si="23"/>
        <v>24812</v>
      </c>
      <c r="AE84" s="11">
        <f>F84+H84+I84+J84+P84+Z84+AD84</f>
        <v>873742.8315</v>
      </c>
      <c r="AF84" s="20">
        <f t="shared" si="29"/>
        <v>809.0211402777778</v>
      </c>
    </row>
    <row r="85" spans="1:32" ht="11.25">
      <c r="A85" s="47" t="s">
        <v>85</v>
      </c>
      <c r="B85" s="11">
        <f>SUM(B83:B84)</f>
        <v>218</v>
      </c>
      <c r="C85" s="11">
        <f>SUM(C83:C84)</f>
        <v>3500</v>
      </c>
      <c r="D85" s="11">
        <f>SUM(D83:D84)</f>
        <v>1678</v>
      </c>
      <c r="E85" s="11">
        <f t="shared" si="22"/>
        <v>5178</v>
      </c>
      <c r="F85" s="11">
        <f aca="true" t="shared" si="31" ref="F85:AC85">SUM(F83:F84)</f>
        <v>1103247</v>
      </c>
      <c r="G85" s="11">
        <f t="shared" si="31"/>
        <v>0</v>
      </c>
      <c r="H85" s="11">
        <f t="shared" si="31"/>
        <v>97900</v>
      </c>
      <c r="I85" s="11">
        <f t="shared" si="31"/>
        <v>184976.63799999998</v>
      </c>
      <c r="J85" s="11">
        <f t="shared" si="31"/>
        <v>29428.1015</v>
      </c>
      <c r="K85" s="11">
        <f t="shared" si="31"/>
        <v>0</v>
      </c>
      <c r="L85" s="11">
        <f t="shared" si="31"/>
        <v>0</v>
      </c>
      <c r="M85" s="11">
        <f t="shared" si="31"/>
        <v>0</v>
      </c>
      <c r="N85" s="11">
        <f t="shared" si="31"/>
        <v>0</v>
      </c>
      <c r="O85" s="11">
        <f t="shared" si="31"/>
        <v>0</v>
      </c>
      <c r="P85" s="11">
        <f t="shared" si="31"/>
        <v>275890</v>
      </c>
      <c r="Q85" s="11">
        <f t="shared" si="31"/>
        <v>0</v>
      </c>
      <c r="R85" s="11">
        <f t="shared" si="31"/>
        <v>1000</v>
      </c>
      <c r="S85" s="11">
        <f t="shared" si="31"/>
        <v>52684</v>
      </c>
      <c r="T85" s="11">
        <f t="shared" si="31"/>
        <v>1460</v>
      </c>
      <c r="U85" s="11">
        <f t="shared" si="31"/>
        <v>0</v>
      </c>
      <c r="V85" s="11">
        <f t="shared" si="31"/>
        <v>0</v>
      </c>
      <c r="W85" s="11">
        <f t="shared" si="31"/>
        <v>0</v>
      </c>
      <c r="X85" s="11">
        <f t="shared" si="31"/>
        <v>0</v>
      </c>
      <c r="Y85" s="11">
        <f t="shared" si="31"/>
        <v>0</v>
      </c>
      <c r="Z85" s="11">
        <f t="shared" si="31"/>
        <v>65529</v>
      </c>
      <c r="AA85" s="11">
        <f t="shared" si="31"/>
        <v>0</v>
      </c>
      <c r="AB85" s="11">
        <f t="shared" si="31"/>
        <v>0</v>
      </c>
      <c r="AC85" s="11">
        <f t="shared" si="31"/>
        <v>0</v>
      </c>
      <c r="AD85" s="11">
        <f t="shared" si="23"/>
        <v>60322</v>
      </c>
      <c r="AE85" s="11">
        <f>SUM(AE83:AE84)</f>
        <v>1817292.7395</v>
      </c>
      <c r="AF85" s="20">
        <f t="shared" si="29"/>
        <v>694.6837689220183</v>
      </c>
    </row>
    <row r="86" spans="1:32" ht="11.25">
      <c r="A86" s="47" t="s">
        <v>86</v>
      </c>
      <c r="B86" s="11">
        <v>0</v>
      </c>
      <c r="C86" s="11">
        <v>0</v>
      </c>
      <c r="D86" s="11">
        <v>134</v>
      </c>
      <c r="E86" s="11">
        <f t="shared" si="22"/>
        <v>134</v>
      </c>
      <c r="F86" s="11">
        <v>322588</v>
      </c>
      <c r="G86" s="11"/>
      <c r="H86" s="11">
        <v>26689</v>
      </c>
      <c r="I86" s="11">
        <f>(F86+H86)*15.4%</f>
        <v>53788.657999999996</v>
      </c>
      <c r="J86" s="11">
        <f>(F86+H86)*2.45%</f>
        <v>8557.2865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150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1089</v>
      </c>
      <c r="Z86" s="11">
        <v>12453</v>
      </c>
      <c r="AA86" s="11">
        <v>0</v>
      </c>
      <c r="AB86" s="11">
        <v>0</v>
      </c>
      <c r="AC86" s="11">
        <v>0</v>
      </c>
      <c r="AD86" s="11">
        <f t="shared" si="23"/>
        <v>1373</v>
      </c>
      <c r="AE86" s="11">
        <f>F86+H86+I86+J86+P86+Z86+AD86</f>
        <v>425448.9445</v>
      </c>
      <c r="AF86" s="20"/>
    </row>
    <row r="87" spans="1:32" ht="11.25">
      <c r="A87" s="47" t="s">
        <v>87</v>
      </c>
      <c r="B87" s="11">
        <f>B71+B74+B81+B82+B85+B86+B77</f>
        <v>20058</v>
      </c>
      <c r="C87" s="11">
        <f>C71+C74+C81+C82+C85+C86+C77</f>
        <v>11199</v>
      </c>
      <c r="D87" s="11">
        <f>D71+D74+D81+D82+D85+D86+D77</f>
        <v>13067</v>
      </c>
      <c r="E87" s="11">
        <f t="shared" si="22"/>
        <v>24266</v>
      </c>
      <c r="F87" s="11">
        <f aca="true" t="shared" si="32" ref="F87:AC87">F71+F74+F81+F82+F85+F86+F77</f>
        <v>6207390</v>
      </c>
      <c r="G87" s="11">
        <f t="shared" si="32"/>
        <v>0</v>
      </c>
      <c r="H87" s="11">
        <f t="shared" si="32"/>
        <v>502845</v>
      </c>
      <c r="I87" s="11">
        <f t="shared" si="32"/>
        <v>1033376.19</v>
      </c>
      <c r="J87" s="11">
        <f t="shared" si="32"/>
        <v>164400.7575</v>
      </c>
      <c r="K87" s="11">
        <f t="shared" si="32"/>
        <v>26400</v>
      </c>
      <c r="L87" s="11">
        <f t="shared" si="32"/>
        <v>7000</v>
      </c>
      <c r="M87" s="11">
        <f t="shared" si="32"/>
        <v>126416</v>
      </c>
      <c r="N87" s="11">
        <f t="shared" si="32"/>
        <v>0</v>
      </c>
      <c r="O87" s="11">
        <f t="shared" si="32"/>
        <v>58641</v>
      </c>
      <c r="P87" s="11">
        <f t="shared" si="32"/>
        <v>699875</v>
      </c>
      <c r="Q87" s="11">
        <f t="shared" si="32"/>
        <v>180100</v>
      </c>
      <c r="R87" s="11">
        <f t="shared" si="32"/>
        <v>17389</v>
      </c>
      <c r="S87" s="11">
        <f t="shared" si="32"/>
        <v>173717</v>
      </c>
      <c r="T87" s="11">
        <f t="shared" si="32"/>
        <v>8444</v>
      </c>
      <c r="U87" s="11">
        <f t="shared" si="32"/>
        <v>5000</v>
      </c>
      <c r="V87" s="11">
        <f t="shared" si="32"/>
        <v>29006</v>
      </c>
      <c r="W87" s="11">
        <f t="shared" si="32"/>
        <v>22812</v>
      </c>
      <c r="X87" s="11">
        <f t="shared" si="32"/>
        <v>11100</v>
      </c>
      <c r="Y87" s="11">
        <f t="shared" si="32"/>
        <v>13339</v>
      </c>
      <c r="Z87" s="11">
        <f t="shared" si="32"/>
        <v>357684</v>
      </c>
      <c r="AA87" s="11">
        <f t="shared" si="32"/>
        <v>7500</v>
      </c>
      <c r="AB87" s="11">
        <f t="shared" si="32"/>
        <v>0</v>
      </c>
      <c r="AC87" s="11">
        <f t="shared" si="32"/>
        <v>0</v>
      </c>
      <c r="AD87" s="11">
        <f t="shared" si="23"/>
        <v>711130</v>
      </c>
      <c r="AE87" s="11">
        <f>AE71+AE74+AE81+AE82+AE85+AE86+AE77</f>
        <v>9676700.9475</v>
      </c>
      <c r="AF87" s="20">
        <f>AE87/12/B87</f>
        <v>40.202998585352475</v>
      </c>
    </row>
    <row r="88" spans="1:32" ht="11.25" hidden="1">
      <c r="A88" s="47" t="s">
        <v>88</v>
      </c>
      <c r="B88" s="11">
        <f>B87+B70</f>
        <v>30757</v>
      </c>
      <c r="C88" s="11">
        <f>C87+C70</f>
        <v>64295</v>
      </c>
      <c r="D88" s="11">
        <f>D87+D70</f>
        <v>150285</v>
      </c>
      <c r="E88" s="11">
        <f t="shared" si="22"/>
        <v>214580</v>
      </c>
      <c r="F88" s="11">
        <f aca="true" t="shared" si="33" ref="F88:AC88">F87+F70</f>
        <v>64053102</v>
      </c>
      <c r="G88" s="11">
        <f t="shared" si="33"/>
        <v>0</v>
      </c>
      <c r="H88" s="11">
        <f t="shared" si="33"/>
        <v>5270198</v>
      </c>
      <c r="I88" s="11">
        <f t="shared" si="33"/>
        <v>10671535.643999998</v>
      </c>
      <c r="J88" s="11">
        <f t="shared" si="33"/>
        <v>1697744.057</v>
      </c>
      <c r="K88" s="11">
        <f t="shared" si="33"/>
        <v>195100</v>
      </c>
      <c r="L88" s="11">
        <f t="shared" si="33"/>
        <v>142764</v>
      </c>
      <c r="M88" s="11">
        <f t="shared" si="33"/>
        <v>776645</v>
      </c>
      <c r="N88" s="11">
        <f t="shared" si="33"/>
        <v>0</v>
      </c>
      <c r="O88" s="11">
        <f t="shared" si="33"/>
        <v>185225</v>
      </c>
      <c r="P88" s="11">
        <f t="shared" si="33"/>
        <v>4370742</v>
      </c>
      <c r="Q88" s="11">
        <f t="shared" si="33"/>
        <v>1398488</v>
      </c>
      <c r="R88" s="11">
        <f t="shared" si="33"/>
        <v>106180</v>
      </c>
      <c r="S88" s="11">
        <f t="shared" si="33"/>
        <v>1017600</v>
      </c>
      <c r="T88" s="11">
        <f t="shared" si="33"/>
        <v>41505</v>
      </c>
      <c r="U88" s="11">
        <f t="shared" si="33"/>
        <v>11720</v>
      </c>
      <c r="V88" s="11">
        <f t="shared" si="33"/>
        <v>137014</v>
      </c>
      <c r="W88" s="11">
        <f t="shared" si="33"/>
        <v>22812</v>
      </c>
      <c r="X88" s="11">
        <f t="shared" si="33"/>
        <v>40848</v>
      </c>
      <c r="Y88" s="11">
        <f t="shared" si="33"/>
        <v>101489</v>
      </c>
      <c r="Z88" s="11">
        <f t="shared" si="33"/>
        <v>3701661</v>
      </c>
      <c r="AA88" s="11">
        <f t="shared" si="33"/>
        <v>22156</v>
      </c>
      <c r="AB88" s="11">
        <f t="shared" si="33"/>
        <v>3000</v>
      </c>
      <c r="AC88" s="11">
        <f t="shared" si="33"/>
        <v>255000</v>
      </c>
      <c r="AD88" s="11">
        <f t="shared" si="23"/>
        <v>4672126</v>
      </c>
      <c r="AE88" s="11">
        <f>AE87+AE70</f>
        <v>94437108.70099999</v>
      </c>
      <c r="AF88" s="20">
        <f>AE88/12/B88</f>
        <v>255.86887727725934</v>
      </c>
    </row>
    <row r="89" spans="28:30" ht="11.25">
      <c r="AB89" s="24"/>
      <c r="AC89" s="24"/>
      <c r="AD89" s="24"/>
    </row>
    <row r="90" spans="28:30" ht="11.25">
      <c r="AB90" s="24"/>
      <c r="AC90" s="24"/>
      <c r="AD90" s="24"/>
    </row>
    <row r="91" spans="1:31" ht="11.25">
      <c r="A91" s="52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  <c r="R91" s="26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ht="11.25">
      <c r="A92" s="52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6"/>
      <c r="R92" s="26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ht="11.25">
      <c r="A93" s="53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28:30" ht="11.25">
      <c r="AB94" s="24"/>
      <c r="AC94" s="24"/>
      <c r="AD94" s="24"/>
    </row>
    <row r="95" spans="28:30" ht="11.25">
      <c r="AB95" s="24"/>
      <c r="AC95" s="24"/>
      <c r="AD95" s="24"/>
    </row>
    <row r="96" spans="28:30" ht="11.25">
      <c r="AB96" s="24"/>
      <c r="AC96" s="24"/>
      <c r="AD96" s="24"/>
    </row>
    <row r="97" spans="28:30" ht="11.25">
      <c r="AB97" s="24"/>
      <c r="AC97" s="24"/>
      <c r="AD97" s="24"/>
    </row>
    <row r="98" spans="28:30" ht="11.25">
      <c r="AB98" s="24"/>
      <c r="AC98" s="24"/>
      <c r="AD98" s="24"/>
    </row>
  </sheetData>
  <printOptions/>
  <pageMargins left="0.44" right="0" top="0.52" bottom="0.3937007874015748" header="0" footer="0"/>
  <pageSetup fitToHeight="2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E44"/>
  <sheetViews>
    <sheetView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12.75"/>
  <cols>
    <col min="1" max="1" width="16.875" style="29" customWidth="1"/>
    <col min="2" max="2" width="5.875" style="29" customWidth="1"/>
    <col min="3" max="3" width="6.625" style="29" hidden="1" customWidth="1"/>
    <col min="4" max="4" width="8.625" style="29" hidden="1" customWidth="1"/>
    <col min="5" max="5" width="5.75390625" style="29" bestFit="1" customWidth="1"/>
    <col min="6" max="6" width="8.75390625" style="29" bestFit="1" customWidth="1"/>
    <col min="7" max="8" width="7.875" style="29" bestFit="1" customWidth="1"/>
    <col min="9" max="9" width="6.625" style="29" bestFit="1" customWidth="1"/>
    <col min="10" max="11" width="6.25390625" style="29" bestFit="1" customWidth="1"/>
    <col min="12" max="13" width="6.625" style="29" bestFit="1" customWidth="1"/>
    <col min="14" max="15" width="7.875" style="29" bestFit="1" customWidth="1"/>
    <col min="16" max="16" width="6.25390625" style="29" bestFit="1" customWidth="1"/>
    <col min="17" max="17" width="6.625" style="29" bestFit="1" customWidth="1"/>
    <col min="18" max="19" width="6.25390625" style="29" bestFit="1" customWidth="1"/>
    <col min="20" max="21" width="5.875" style="29" bestFit="1" customWidth="1"/>
    <col min="22" max="22" width="6.25390625" style="29" hidden="1" customWidth="1"/>
    <col min="23" max="24" width="6.25390625" style="29" bestFit="1" customWidth="1"/>
    <col min="25" max="25" width="7.875" style="29" bestFit="1" customWidth="1"/>
    <col min="26" max="26" width="5.00390625" style="29" bestFit="1" customWidth="1"/>
    <col min="27" max="28" width="6.25390625" style="29" bestFit="1" customWidth="1"/>
    <col min="29" max="29" width="9.875" style="29" customWidth="1"/>
    <col min="30" max="30" width="10.625" style="29" customWidth="1"/>
    <col min="31" max="31" width="11.375" style="29" bestFit="1" customWidth="1"/>
    <col min="32" max="16384" width="9.125" style="29" customWidth="1"/>
  </cols>
  <sheetData>
    <row r="1" ht="26.25" customHeight="1">
      <c r="B1" s="28" t="s">
        <v>133</v>
      </c>
    </row>
    <row r="2" ht="26.25" customHeight="1">
      <c r="B2" s="28" t="s">
        <v>89</v>
      </c>
    </row>
    <row r="3" spans="1:31" ht="39" customHeight="1">
      <c r="A3" s="30"/>
      <c r="B3" s="31" t="s">
        <v>90</v>
      </c>
      <c r="C3" s="32" t="s">
        <v>1</v>
      </c>
      <c r="D3" s="32" t="s">
        <v>2</v>
      </c>
      <c r="E3" s="32" t="s">
        <v>1</v>
      </c>
      <c r="F3" s="32" t="s">
        <v>3</v>
      </c>
      <c r="G3" s="32" t="s">
        <v>5</v>
      </c>
      <c r="H3" s="32" t="s">
        <v>6</v>
      </c>
      <c r="I3" s="32" t="s">
        <v>7</v>
      </c>
      <c r="J3" s="32" t="s">
        <v>8</v>
      </c>
      <c r="K3" s="32" t="s">
        <v>9</v>
      </c>
      <c r="L3" s="32" t="s">
        <v>10</v>
      </c>
      <c r="M3" s="32" t="s">
        <v>12</v>
      </c>
      <c r="N3" s="32" t="s">
        <v>13</v>
      </c>
      <c r="O3" s="32" t="s">
        <v>14</v>
      </c>
      <c r="P3" s="32" t="s">
        <v>15</v>
      </c>
      <c r="Q3" s="32" t="s">
        <v>16</v>
      </c>
      <c r="R3" s="32" t="s">
        <v>17</v>
      </c>
      <c r="S3" s="32" t="s">
        <v>18</v>
      </c>
      <c r="T3" s="32" t="s">
        <v>19</v>
      </c>
      <c r="U3" s="32" t="s">
        <v>91</v>
      </c>
      <c r="V3" s="32" t="s">
        <v>20</v>
      </c>
      <c r="W3" s="32" t="s">
        <v>21</v>
      </c>
      <c r="X3" s="32" t="s">
        <v>22</v>
      </c>
      <c r="Y3" s="32" t="s">
        <v>23</v>
      </c>
      <c r="Z3" s="32" t="s">
        <v>92</v>
      </c>
      <c r="AA3" s="32" t="s">
        <v>24</v>
      </c>
      <c r="AB3" s="32" t="s">
        <v>26</v>
      </c>
      <c r="AC3" s="32" t="s">
        <v>27</v>
      </c>
      <c r="AD3" s="33" t="s">
        <v>28</v>
      </c>
      <c r="AE3" s="34" t="s">
        <v>29</v>
      </c>
    </row>
    <row r="4" spans="1:31" ht="11.25">
      <c r="A4" s="30" t="s">
        <v>93</v>
      </c>
      <c r="B4" s="35">
        <v>73</v>
      </c>
      <c r="C4" s="36">
        <v>300</v>
      </c>
      <c r="D4" s="36">
        <v>663</v>
      </c>
      <c r="E4" s="36">
        <f aca="true" t="shared" si="0" ref="E4:E42">SUM(C4:D4)</f>
        <v>963</v>
      </c>
      <c r="F4" s="36">
        <v>355558</v>
      </c>
      <c r="G4" s="36">
        <v>29748</v>
      </c>
      <c r="H4" s="36">
        <f>(F4+G4)*15.4%</f>
        <v>59337.123999999996</v>
      </c>
      <c r="I4" s="36">
        <f>(F4+G4)*2.45%</f>
        <v>9439.997000000001</v>
      </c>
      <c r="J4" s="36"/>
      <c r="K4" s="36"/>
      <c r="L4" s="36">
        <f>7975+2000</f>
        <v>9975</v>
      </c>
      <c r="M4" s="36">
        <v>400</v>
      </c>
      <c r="N4" s="36">
        <v>31709</v>
      </c>
      <c r="O4" s="37">
        <f>2000+20000</f>
        <v>22000</v>
      </c>
      <c r="P4" s="37">
        <v>500</v>
      </c>
      <c r="Q4" s="36">
        <v>9036</v>
      </c>
      <c r="R4" s="36">
        <v>900</v>
      </c>
      <c r="S4" s="36"/>
      <c r="T4" s="36">
        <v>1200</v>
      </c>
      <c r="U4" s="36"/>
      <c r="V4" s="36"/>
      <c r="W4" s="36">
        <v>200</v>
      </c>
      <c r="X4" s="36">
        <v>550</v>
      </c>
      <c r="Y4" s="36">
        <v>21797</v>
      </c>
      <c r="Z4" s="36"/>
      <c r="AA4" s="36">
        <v>300</v>
      </c>
      <c r="AB4" s="36"/>
      <c r="AC4" s="38">
        <f aca="true" t="shared" si="1" ref="AC4:AC41">AA4+X4+W4+V4+T4+S4+R4+Q4+P4+O4+M4+L4+K4+C4+D4+J4+Z4+U4+AB4</f>
        <v>46024</v>
      </c>
      <c r="AD4" s="38">
        <f aca="true" t="shared" si="2" ref="AD4:AD41">F4+G4+H4+I4+N4+Y4+AC4</f>
        <v>553613.121</v>
      </c>
      <c r="AE4" s="39">
        <f aca="true" t="shared" si="3" ref="AE4:AE40">AD4/12/B4</f>
        <v>631.9784486301371</v>
      </c>
    </row>
    <row r="5" spans="1:31" ht="11.25">
      <c r="A5" s="30" t="s">
        <v>94</v>
      </c>
      <c r="B5" s="35">
        <v>126</v>
      </c>
      <c r="C5" s="36">
        <v>500</v>
      </c>
      <c r="D5" s="36">
        <v>928</v>
      </c>
      <c r="E5" s="36">
        <f t="shared" si="0"/>
        <v>1428</v>
      </c>
      <c r="F5" s="36">
        <v>513730</v>
      </c>
      <c r="G5" s="36">
        <v>39579</v>
      </c>
      <c r="H5" s="36">
        <f>(F5+G5)*15.4%</f>
        <v>85209.586</v>
      </c>
      <c r="I5" s="36">
        <f>(F5+G5)*2.45%</f>
        <v>13556.0705</v>
      </c>
      <c r="J5" s="36">
        <v>0</v>
      </c>
      <c r="K5" s="36">
        <v>0</v>
      </c>
      <c r="L5" s="36">
        <f>21210+1000</f>
        <v>22210</v>
      </c>
      <c r="M5" s="36">
        <v>3000</v>
      </c>
      <c r="N5" s="36">
        <v>36593</v>
      </c>
      <c r="O5" s="37">
        <f>2000+1550</f>
        <v>3550</v>
      </c>
      <c r="P5" s="37">
        <v>500</v>
      </c>
      <c r="Q5" s="36">
        <f>10000+2050</f>
        <v>12050</v>
      </c>
      <c r="R5" s="36">
        <v>800</v>
      </c>
      <c r="S5" s="36"/>
      <c r="T5" s="36">
        <v>2000</v>
      </c>
      <c r="U5" s="36"/>
      <c r="V5" s="36"/>
      <c r="W5" s="36"/>
      <c r="X5" s="36">
        <v>1500</v>
      </c>
      <c r="Y5" s="36">
        <v>30626</v>
      </c>
      <c r="Z5" s="36"/>
      <c r="AA5" s="36">
        <v>300</v>
      </c>
      <c r="AB5" s="36"/>
      <c r="AC5" s="38">
        <f t="shared" si="1"/>
        <v>47338</v>
      </c>
      <c r="AD5" s="38">
        <f t="shared" si="2"/>
        <v>766631.6565</v>
      </c>
      <c r="AE5" s="39">
        <f t="shared" si="3"/>
        <v>507.03151884920635</v>
      </c>
    </row>
    <row r="6" spans="1:31" ht="11.25">
      <c r="A6" s="30" t="s">
        <v>95</v>
      </c>
      <c r="B6" s="35">
        <v>144</v>
      </c>
      <c r="C6" s="36">
        <v>1504</v>
      </c>
      <c r="D6" s="36">
        <v>1303</v>
      </c>
      <c r="E6" s="36">
        <f t="shared" si="0"/>
        <v>2807</v>
      </c>
      <c r="F6" s="36">
        <v>649945</v>
      </c>
      <c r="G6" s="36">
        <v>50190</v>
      </c>
      <c r="H6" s="36">
        <v>108758</v>
      </c>
      <c r="I6" s="36">
        <v>17302</v>
      </c>
      <c r="J6" s="36"/>
      <c r="K6" s="36">
        <v>5600</v>
      </c>
      <c r="L6" s="36">
        <f>11777+3000</f>
        <v>14777</v>
      </c>
      <c r="M6" s="36">
        <v>4000</v>
      </c>
      <c r="N6" s="36">
        <v>48662</v>
      </c>
      <c r="O6" s="37">
        <f>626+10000</f>
        <v>10626</v>
      </c>
      <c r="P6" s="37">
        <v>2258</v>
      </c>
      <c r="Q6" s="36">
        <f>14691+2790+3600</f>
        <v>21081</v>
      </c>
      <c r="R6" s="36">
        <v>768</v>
      </c>
      <c r="S6" s="36"/>
      <c r="T6" s="36">
        <v>2750</v>
      </c>
      <c r="U6" s="36">
        <v>167</v>
      </c>
      <c r="V6" s="36"/>
      <c r="W6" s="36">
        <v>550</v>
      </c>
      <c r="X6" s="36">
        <v>725</v>
      </c>
      <c r="Y6" s="36">
        <v>38190</v>
      </c>
      <c r="Z6" s="36">
        <v>480</v>
      </c>
      <c r="AA6" s="36">
        <v>740</v>
      </c>
      <c r="AB6" s="36"/>
      <c r="AC6" s="38">
        <f t="shared" si="1"/>
        <v>67329</v>
      </c>
      <c r="AD6" s="38">
        <f t="shared" si="2"/>
        <v>980376</v>
      </c>
      <c r="AE6" s="39">
        <f t="shared" si="3"/>
        <v>567.3472222222222</v>
      </c>
    </row>
    <row r="7" spans="1:31" ht="11.25">
      <c r="A7" s="30" t="s">
        <v>96</v>
      </c>
      <c r="B7" s="40">
        <v>133</v>
      </c>
      <c r="C7" s="40">
        <v>3356</v>
      </c>
      <c r="D7" s="40">
        <v>1144</v>
      </c>
      <c r="E7" s="36">
        <f t="shared" si="0"/>
        <v>4500</v>
      </c>
      <c r="F7" s="40">
        <v>611469</v>
      </c>
      <c r="G7" s="40">
        <v>48280</v>
      </c>
      <c r="H7" s="36">
        <v>102733</v>
      </c>
      <c r="I7" s="36">
        <v>16344</v>
      </c>
      <c r="J7" s="40"/>
      <c r="K7" s="40">
        <v>1500</v>
      </c>
      <c r="L7" s="40">
        <f>12190+3000</f>
        <v>15190</v>
      </c>
      <c r="M7" s="40">
        <v>0</v>
      </c>
      <c r="N7" s="40">
        <v>39351</v>
      </c>
      <c r="O7" s="40">
        <v>70000</v>
      </c>
      <c r="P7" s="40">
        <v>1300</v>
      </c>
      <c r="Q7" s="40">
        <f>18693+5134</f>
        <v>23827</v>
      </c>
      <c r="R7" s="40">
        <v>800</v>
      </c>
      <c r="S7" s="40">
        <v>2100</v>
      </c>
      <c r="T7" s="40">
        <v>1600</v>
      </c>
      <c r="U7" s="40">
        <v>700</v>
      </c>
      <c r="V7" s="40"/>
      <c r="W7" s="40"/>
      <c r="X7" s="40">
        <v>1400</v>
      </c>
      <c r="Y7" s="40">
        <v>37743</v>
      </c>
      <c r="Z7" s="40"/>
      <c r="AA7" s="40"/>
      <c r="AB7" s="40"/>
      <c r="AC7" s="38">
        <f t="shared" si="1"/>
        <v>122917</v>
      </c>
      <c r="AD7" s="38">
        <f t="shared" si="2"/>
        <v>978837</v>
      </c>
      <c r="AE7" s="39">
        <f t="shared" si="3"/>
        <v>613.3063909774436</v>
      </c>
    </row>
    <row r="8" spans="1:31" ht="11.25">
      <c r="A8" s="30" t="s">
        <v>97</v>
      </c>
      <c r="B8" s="40">
        <v>102</v>
      </c>
      <c r="C8" s="40">
        <v>1750</v>
      </c>
      <c r="D8" s="40">
        <v>862</v>
      </c>
      <c r="E8" s="36">
        <f t="shared" si="0"/>
        <v>2612</v>
      </c>
      <c r="F8" s="40">
        <v>452639</v>
      </c>
      <c r="G8" s="40">
        <v>34085</v>
      </c>
      <c r="H8" s="36">
        <f>(F8+G8)*15.4%</f>
        <v>74955.496</v>
      </c>
      <c r="I8" s="36">
        <f>(F8+G8)*2.45%</f>
        <v>11924.738000000001</v>
      </c>
      <c r="J8" s="40"/>
      <c r="K8" s="40">
        <v>600</v>
      </c>
      <c r="L8" s="40">
        <v>8360</v>
      </c>
      <c r="M8" s="40">
        <v>2000</v>
      </c>
      <c r="N8" s="40">
        <v>35000</v>
      </c>
      <c r="O8" s="40">
        <f>1974+60000+2000</f>
        <v>63974</v>
      </c>
      <c r="P8" s="40">
        <v>560</v>
      </c>
      <c r="Q8" s="40">
        <f>7000+2520+245+280</f>
        <v>10045</v>
      </c>
      <c r="R8" s="40">
        <v>1400</v>
      </c>
      <c r="S8" s="40">
        <v>350</v>
      </c>
      <c r="T8" s="40">
        <v>840</v>
      </c>
      <c r="U8" s="40"/>
      <c r="V8" s="40"/>
      <c r="W8" s="40">
        <v>490</v>
      </c>
      <c r="X8" s="40">
        <v>1000</v>
      </c>
      <c r="Y8" s="40">
        <v>26373</v>
      </c>
      <c r="Z8" s="40"/>
      <c r="AA8" s="40"/>
      <c r="AB8" s="40"/>
      <c r="AC8" s="38">
        <f t="shared" si="1"/>
        <v>92231</v>
      </c>
      <c r="AD8" s="38">
        <f t="shared" si="2"/>
        <v>727208.234</v>
      </c>
      <c r="AE8" s="39">
        <f t="shared" si="3"/>
        <v>594.1243741830066</v>
      </c>
    </row>
    <row r="9" spans="1:31" ht="11.25">
      <c r="A9" s="30" t="s">
        <v>98</v>
      </c>
      <c r="B9" s="40">
        <v>100</v>
      </c>
      <c r="C9" s="40">
        <v>700</v>
      </c>
      <c r="D9" s="40">
        <v>1081</v>
      </c>
      <c r="E9" s="36">
        <f t="shared" si="0"/>
        <v>1781</v>
      </c>
      <c r="F9" s="40">
        <v>541710</v>
      </c>
      <c r="G9" s="40">
        <v>43825</v>
      </c>
      <c r="H9" s="36">
        <f>(F9+G9)*15.4%</f>
        <v>90172.39</v>
      </c>
      <c r="I9" s="36">
        <f>(F9+G9)*2.45%</f>
        <v>14345.6075</v>
      </c>
      <c r="J9" s="40"/>
      <c r="K9" s="40"/>
      <c r="L9" s="40">
        <v>9797</v>
      </c>
      <c r="M9" s="40">
        <v>8200</v>
      </c>
      <c r="N9" s="40">
        <v>18800</v>
      </c>
      <c r="O9" s="40"/>
      <c r="P9" s="40">
        <v>1135</v>
      </c>
      <c r="Q9" s="40">
        <v>7080</v>
      </c>
      <c r="R9" s="40">
        <v>528</v>
      </c>
      <c r="S9" s="40"/>
      <c r="T9" s="40">
        <v>1560</v>
      </c>
      <c r="U9" s="40"/>
      <c r="V9" s="40"/>
      <c r="W9" s="40"/>
      <c r="X9" s="40">
        <v>2000</v>
      </c>
      <c r="Y9" s="40">
        <v>30632</v>
      </c>
      <c r="Z9" s="40"/>
      <c r="AA9" s="40"/>
      <c r="AB9" s="40"/>
      <c r="AC9" s="38">
        <f t="shared" si="1"/>
        <v>32081</v>
      </c>
      <c r="AD9" s="38">
        <f t="shared" si="2"/>
        <v>771565.9975</v>
      </c>
      <c r="AE9" s="39">
        <f t="shared" si="3"/>
        <v>642.9716645833334</v>
      </c>
    </row>
    <row r="10" spans="1:31" ht="11.25">
      <c r="A10" s="30" t="s">
        <v>99</v>
      </c>
      <c r="B10" s="40">
        <v>112</v>
      </c>
      <c r="C10" s="40">
        <v>955</v>
      </c>
      <c r="D10" s="40">
        <v>1121</v>
      </c>
      <c r="E10" s="36">
        <f t="shared" si="0"/>
        <v>2076</v>
      </c>
      <c r="F10" s="40">
        <v>559839</v>
      </c>
      <c r="G10" s="40">
        <v>46294</v>
      </c>
      <c r="H10" s="36">
        <f>(F10+G10)*15.4%</f>
        <v>93344.482</v>
      </c>
      <c r="I10" s="36">
        <f>(F10+G10)*2.45%</f>
        <v>14850.2585</v>
      </c>
      <c r="J10" s="40"/>
      <c r="K10" s="40">
        <v>1200</v>
      </c>
      <c r="L10" s="40">
        <f>8700+1232</f>
        <v>9932</v>
      </c>
      <c r="M10" s="40">
        <v>1360</v>
      </c>
      <c r="N10" s="40">
        <v>40612</v>
      </c>
      <c r="O10" s="40"/>
      <c r="P10" s="40">
        <v>1800</v>
      </c>
      <c r="Q10" s="40">
        <v>12043</v>
      </c>
      <c r="R10" s="40"/>
      <c r="S10" s="40"/>
      <c r="T10" s="40">
        <v>2100</v>
      </c>
      <c r="U10" s="40">
        <v>900</v>
      </c>
      <c r="V10" s="40"/>
      <c r="W10" s="40"/>
      <c r="X10" s="40">
        <v>200</v>
      </c>
      <c r="Y10" s="40">
        <v>30482</v>
      </c>
      <c r="Z10" s="40"/>
      <c r="AA10" s="40">
        <v>800</v>
      </c>
      <c r="AB10" s="40"/>
      <c r="AC10" s="38">
        <f t="shared" si="1"/>
        <v>32411</v>
      </c>
      <c r="AD10" s="38">
        <f t="shared" si="2"/>
        <v>817832.7405</v>
      </c>
      <c r="AE10" s="39">
        <f t="shared" si="3"/>
        <v>608.5065033482142</v>
      </c>
    </row>
    <row r="11" spans="1:31" ht="11.25">
      <c r="A11" s="30" t="s">
        <v>100</v>
      </c>
      <c r="B11" s="40">
        <v>174</v>
      </c>
      <c r="C11" s="40">
        <v>2000</v>
      </c>
      <c r="D11" s="40">
        <v>1375</v>
      </c>
      <c r="E11" s="36">
        <f t="shared" si="0"/>
        <v>3375</v>
      </c>
      <c r="F11" s="40">
        <v>707083</v>
      </c>
      <c r="G11" s="40">
        <v>56594</v>
      </c>
      <c r="H11" s="36">
        <v>118647</v>
      </c>
      <c r="I11" s="36">
        <v>18876</v>
      </c>
      <c r="J11" s="40"/>
      <c r="K11" s="40">
        <v>2500</v>
      </c>
      <c r="L11" s="40">
        <v>13240</v>
      </c>
      <c r="M11" s="40">
        <v>6300</v>
      </c>
      <c r="N11" s="40">
        <v>50824</v>
      </c>
      <c r="O11" s="40">
        <v>7500</v>
      </c>
      <c r="P11" s="40">
        <v>2500</v>
      </c>
      <c r="Q11" s="40">
        <v>13550</v>
      </c>
      <c r="R11" s="40">
        <v>1300</v>
      </c>
      <c r="S11" s="40">
        <v>0</v>
      </c>
      <c r="T11" s="40">
        <v>2500</v>
      </c>
      <c r="U11" s="40">
        <v>300</v>
      </c>
      <c r="V11" s="40">
        <v>0</v>
      </c>
      <c r="W11" s="40">
        <v>500</v>
      </c>
      <c r="X11" s="40">
        <v>2000</v>
      </c>
      <c r="Y11" s="40">
        <v>42903</v>
      </c>
      <c r="Z11" s="40">
        <v>0</v>
      </c>
      <c r="AA11" s="40">
        <v>600</v>
      </c>
      <c r="AB11" s="40"/>
      <c r="AC11" s="38">
        <f t="shared" si="1"/>
        <v>56165</v>
      </c>
      <c r="AD11" s="38">
        <f t="shared" si="2"/>
        <v>1051092</v>
      </c>
      <c r="AE11" s="39">
        <f t="shared" si="3"/>
        <v>503.3965517241379</v>
      </c>
    </row>
    <row r="12" spans="1:31" ht="11.25">
      <c r="A12" s="30" t="s">
        <v>101</v>
      </c>
      <c r="B12" s="40">
        <v>78</v>
      </c>
      <c r="C12" s="40">
        <v>900</v>
      </c>
      <c r="D12" s="40">
        <v>585</v>
      </c>
      <c r="E12" s="36">
        <f t="shared" si="0"/>
        <v>1485</v>
      </c>
      <c r="F12" s="40">
        <v>372271</v>
      </c>
      <c r="G12" s="40">
        <v>29548</v>
      </c>
      <c r="H12" s="36">
        <v>62258</v>
      </c>
      <c r="I12" s="36">
        <v>9905</v>
      </c>
      <c r="J12" s="40"/>
      <c r="K12" s="40"/>
      <c r="L12" s="40">
        <f>16670+7812</f>
        <v>24482</v>
      </c>
      <c r="M12" s="40">
        <v>4000</v>
      </c>
      <c r="N12" s="40">
        <v>7588</v>
      </c>
      <c r="O12" s="40">
        <f>1500+2230</f>
        <v>3730</v>
      </c>
      <c r="P12" s="40">
        <v>900</v>
      </c>
      <c r="Q12" s="40">
        <f>4000+1386</f>
        <v>5386</v>
      </c>
      <c r="R12" s="40">
        <v>664</v>
      </c>
      <c r="S12" s="40"/>
      <c r="T12" s="40">
        <v>1040</v>
      </c>
      <c r="U12" s="40"/>
      <c r="V12" s="40"/>
      <c r="W12" s="40"/>
      <c r="X12" s="40">
        <v>424</v>
      </c>
      <c r="Y12" s="40">
        <v>20890</v>
      </c>
      <c r="Z12" s="40"/>
      <c r="AA12" s="40">
        <v>300</v>
      </c>
      <c r="AB12" s="40"/>
      <c r="AC12" s="38">
        <f t="shared" si="1"/>
        <v>42411</v>
      </c>
      <c r="AD12" s="38">
        <f t="shared" si="2"/>
        <v>544871</v>
      </c>
      <c r="AE12" s="39">
        <f t="shared" si="3"/>
        <v>582.1271367521367</v>
      </c>
    </row>
    <row r="13" spans="1:31" ht="11.25">
      <c r="A13" s="30" t="s">
        <v>102</v>
      </c>
      <c r="B13" s="40">
        <v>110</v>
      </c>
      <c r="C13" s="40">
        <v>850</v>
      </c>
      <c r="D13" s="40">
        <v>1052</v>
      </c>
      <c r="E13" s="36">
        <f t="shared" si="0"/>
        <v>1902</v>
      </c>
      <c r="F13" s="40">
        <v>521376</v>
      </c>
      <c r="G13" s="40">
        <v>42900</v>
      </c>
      <c r="H13" s="36">
        <f>(F13+G13)*15.4%</f>
        <v>86898.504</v>
      </c>
      <c r="I13" s="36">
        <f>(F13+G13)*2.45%</f>
        <v>13824.762</v>
      </c>
      <c r="J13" s="40"/>
      <c r="K13" s="40"/>
      <c r="L13" s="40">
        <f>8060+4000</f>
        <v>12060</v>
      </c>
      <c r="M13" s="40">
        <f>2000+500</f>
        <v>2500</v>
      </c>
      <c r="N13" s="40">
        <v>46020</v>
      </c>
      <c r="O13" s="40">
        <f>3850+500</f>
        <v>4350</v>
      </c>
      <c r="P13" s="40">
        <v>1800</v>
      </c>
      <c r="Q13" s="40">
        <v>12100</v>
      </c>
      <c r="R13" s="40">
        <v>1200</v>
      </c>
      <c r="S13" s="40">
        <v>0</v>
      </c>
      <c r="T13" s="40">
        <v>2500</v>
      </c>
      <c r="U13" s="40">
        <v>0</v>
      </c>
      <c r="V13" s="40">
        <v>0</v>
      </c>
      <c r="W13" s="40">
        <v>200</v>
      </c>
      <c r="X13" s="40">
        <v>1500</v>
      </c>
      <c r="Y13" s="40">
        <v>29574</v>
      </c>
      <c r="Z13" s="40">
        <v>0</v>
      </c>
      <c r="AA13" s="40">
        <v>0</v>
      </c>
      <c r="AB13" s="40"/>
      <c r="AC13" s="38">
        <f t="shared" si="1"/>
        <v>40112</v>
      </c>
      <c r="AD13" s="38">
        <f t="shared" si="2"/>
        <v>780705.266</v>
      </c>
      <c r="AE13" s="39">
        <f t="shared" si="3"/>
        <v>591.4433833333333</v>
      </c>
    </row>
    <row r="14" spans="1:31" ht="11.25">
      <c r="A14" s="30" t="s">
        <v>103</v>
      </c>
      <c r="B14" s="40">
        <v>112</v>
      </c>
      <c r="C14" s="40">
        <v>1000</v>
      </c>
      <c r="D14" s="40">
        <v>1097</v>
      </c>
      <c r="E14" s="36">
        <f t="shared" si="0"/>
        <v>2097</v>
      </c>
      <c r="F14" s="40">
        <v>533846</v>
      </c>
      <c r="G14" s="40">
        <v>44076</v>
      </c>
      <c r="H14" s="36">
        <f>(F14+G14)*15.4%</f>
        <v>88999.988</v>
      </c>
      <c r="I14" s="36">
        <f>(F14+G14)*2.45%</f>
        <v>14159.089</v>
      </c>
      <c r="J14" s="40"/>
      <c r="K14" s="40">
        <v>1200</v>
      </c>
      <c r="L14" s="40">
        <f>9673+2000</f>
        <v>11673</v>
      </c>
      <c r="M14" s="40">
        <v>2000</v>
      </c>
      <c r="N14" s="40">
        <v>31963</v>
      </c>
      <c r="O14" s="40">
        <v>0</v>
      </c>
      <c r="P14" s="40">
        <v>1550</v>
      </c>
      <c r="Q14" s="40">
        <v>9517</v>
      </c>
      <c r="R14" s="40">
        <v>400</v>
      </c>
      <c r="S14" s="40"/>
      <c r="T14" s="40">
        <v>2000</v>
      </c>
      <c r="U14" s="40">
        <v>400</v>
      </c>
      <c r="V14" s="40"/>
      <c r="W14" s="40"/>
      <c r="X14" s="40">
        <v>1100</v>
      </c>
      <c r="Y14" s="40">
        <v>30073</v>
      </c>
      <c r="Z14" s="40"/>
      <c r="AA14" s="40">
        <v>700</v>
      </c>
      <c r="AB14" s="40"/>
      <c r="AC14" s="38">
        <f t="shared" si="1"/>
        <v>32637</v>
      </c>
      <c r="AD14" s="38">
        <f t="shared" si="2"/>
        <v>775754.077</v>
      </c>
      <c r="AE14" s="39">
        <f t="shared" si="3"/>
        <v>577.1979739583334</v>
      </c>
    </row>
    <row r="15" spans="1:31" ht="11.25">
      <c r="A15" s="30" t="s">
        <v>104</v>
      </c>
      <c r="B15" s="40">
        <v>142</v>
      </c>
      <c r="C15" s="40">
        <v>1000</v>
      </c>
      <c r="D15" s="40">
        <v>1201</v>
      </c>
      <c r="E15" s="36">
        <f t="shared" si="0"/>
        <v>2201</v>
      </c>
      <c r="F15" s="40">
        <v>606023</v>
      </c>
      <c r="G15" s="40">
        <v>46054</v>
      </c>
      <c r="H15" s="36">
        <f>(F15+G15)*15.4%</f>
        <v>100419.858</v>
      </c>
      <c r="I15" s="36">
        <f>(F15+G15)*2.45%</f>
        <v>15975.8865</v>
      </c>
      <c r="J15" s="40"/>
      <c r="K15" s="40">
        <v>6400</v>
      </c>
      <c r="L15" s="40">
        <v>12000</v>
      </c>
      <c r="M15" s="40">
        <v>5000</v>
      </c>
      <c r="N15" s="40">
        <v>30483</v>
      </c>
      <c r="O15" s="40">
        <v>1700</v>
      </c>
      <c r="P15" s="40">
        <v>1900</v>
      </c>
      <c r="Q15" s="40">
        <f>7200+2460</f>
        <v>9660</v>
      </c>
      <c r="R15" s="40">
        <v>520</v>
      </c>
      <c r="S15" s="40">
        <v>0</v>
      </c>
      <c r="T15" s="40">
        <v>1200</v>
      </c>
      <c r="U15" s="40"/>
      <c r="V15" s="40"/>
      <c r="W15" s="40"/>
      <c r="X15" s="40">
        <v>480</v>
      </c>
      <c r="Y15" s="40">
        <v>35697</v>
      </c>
      <c r="Z15" s="40"/>
      <c r="AA15" s="40">
        <v>700</v>
      </c>
      <c r="AB15" s="40"/>
      <c r="AC15" s="38">
        <f t="shared" si="1"/>
        <v>41761</v>
      </c>
      <c r="AD15" s="38">
        <f t="shared" si="2"/>
        <v>876413.7445</v>
      </c>
      <c r="AE15" s="39">
        <f t="shared" si="3"/>
        <v>514.3273148474178</v>
      </c>
    </row>
    <row r="16" spans="1:31" ht="11.25">
      <c r="A16" s="30" t="s">
        <v>105</v>
      </c>
      <c r="B16" s="40">
        <v>109</v>
      </c>
      <c r="C16" s="40">
        <v>300</v>
      </c>
      <c r="D16" s="40">
        <v>916</v>
      </c>
      <c r="E16" s="36">
        <f t="shared" si="0"/>
        <v>1216</v>
      </c>
      <c r="F16" s="40">
        <v>515902</v>
      </c>
      <c r="G16" s="40">
        <v>38632</v>
      </c>
      <c r="H16" s="36">
        <v>85505</v>
      </c>
      <c r="I16" s="36">
        <v>13603</v>
      </c>
      <c r="J16" s="40"/>
      <c r="K16" s="40"/>
      <c r="L16" s="40">
        <v>20000</v>
      </c>
      <c r="M16" s="40">
        <v>2000</v>
      </c>
      <c r="N16" s="40">
        <v>36593</v>
      </c>
      <c r="O16" s="40">
        <f>2000+2500+300000</f>
        <v>304500</v>
      </c>
      <c r="P16" s="40">
        <v>500</v>
      </c>
      <c r="Q16" s="40">
        <f>6990+3075</f>
        <v>10065</v>
      </c>
      <c r="R16" s="40">
        <v>800</v>
      </c>
      <c r="S16" s="40"/>
      <c r="T16" s="40">
        <v>1800</v>
      </c>
      <c r="U16" s="40"/>
      <c r="V16" s="40"/>
      <c r="W16" s="40"/>
      <c r="X16" s="40">
        <v>1000</v>
      </c>
      <c r="Y16" s="40">
        <v>31089</v>
      </c>
      <c r="Z16" s="40"/>
      <c r="AA16" s="40">
        <v>300</v>
      </c>
      <c r="AB16" s="40"/>
      <c r="AC16" s="38">
        <f t="shared" si="1"/>
        <v>342181</v>
      </c>
      <c r="AD16" s="38">
        <f t="shared" si="2"/>
        <v>1063505</v>
      </c>
      <c r="AE16" s="39">
        <f t="shared" si="3"/>
        <v>813.0772171253823</v>
      </c>
    </row>
    <row r="17" spans="1:31" ht="11.25">
      <c r="A17" s="30" t="s">
        <v>106</v>
      </c>
      <c r="B17" s="40">
        <v>100</v>
      </c>
      <c r="C17" s="40">
        <v>850</v>
      </c>
      <c r="D17" s="40">
        <v>914</v>
      </c>
      <c r="E17" s="36">
        <f t="shared" si="0"/>
        <v>1764</v>
      </c>
      <c r="F17" s="40">
        <v>451090</v>
      </c>
      <c r="G17" s="40">
        <v>37216</v>
      </c>
      <c r="H17" s="36">
        <f>(F17+G17)*15.4%</f>
        <v>75199.124</v>
      </c>
      <c r="I17" s="36">
        <f>(F17+G17)*2.45%</f>
        <v>11963.497000000001</v>
      </c>
      <c r="J17" s="40"/>
      <c r="K17" s="40"/>
      <c r="L17" s="40">
        <f>4450+750</f>
        <v>5200</v>
      </c>
      <c r="M17" s="40">
        <f>3000+1500</f>
        <v>4500</v>
      </c>
      <c r="N17" s="40">
        <v>32492</v>
      </c>
      <c r="O17" s="40">
        <v>3440</v>
      </c>
      <c r="P17" s="40">
        <v>1800</v>
      </c>
      <c r="Q17" s="40">
        <v>11838</v>
      </c>
      <c r="R17" s="40">
        <v>1200</v>
      </c>
      <c r="S17" s="40">
        <v>0</v>
      </c>
      <c r="T17" s="40">
        <v>1200</v>
      </c>
      <c r="U17" s="40">
        <v>0</v>
      </c>
      <c r="V17" s="40">
        <v>0</v>
      </c>
      <c r="W17" s="40">
        <v>70</v>
      </c>
      <c r="X17" s="40">
        <v>300</v>
      </c>
      <c r="Y17" s="40">
        <v>27640</v>
      </c>
      <c r="Z17" s="40"/>
      <c r="AA17" s="40"/>
      <c r="AB17" s="40"/>
      <c r="AC17" s="38">
        <f t="shared" si="1"/>
        <v>31312</v>
      </c>
      <c r="AD17" s="38">
        <f t="shared" si="2"/>
        <v>666912.6209999999</v>
      </c>
      <c r="AE17" s="39">
        <f t="shared" si="3"/>
        <v>555.7605174999999</v>
      </c>
    </row>
    <row r="18" spans="1:31" ht="11.25">
      <c r="A18" s="30" t="s">
        <v>107</v>
      </c>
      <c r="B18" s="40">
        <v>121</v>
      </c>
      <c r="C18" s="40">
        <v>1000</v>
      </c>
      <c r="D18" s="40">
        <v>1156</v>
      </c>
      <c r="E18" s="36">
        <f t="shared" si="0"/>
        <v>2156</v>
      </c>
      <c r="F18" s="40">
        <v>585764</v>
      </c>
      <c r="G18" s="40">
        <v>51265</v>
      </c>
      <c r="H18" s="36">
        <v>99181</v>
      </c>
      <c r="I18" s="36">
        <v>15779</v>
      </c>
      <c r="J18" s="40">
        <v>0</v>
      </c>
      <c r="K18" s="40">
        <v>0</v>
      </c>
      <c r="L18" s="40">
        <f>13328+5000</f>
        <v>18328</v>
      </c>
      <c r="M18" s="40">
        <v>4000</v>
      </c>
      <c r="N18" s="40">
        <v>29520</v>
      </c>
      <c r="O18" s="40">
        <v>3200</v>
      </c>
      <c r="P18" s="40">
        <v>1000</v>
      </c>
      <c r="Q18" s="40">
        <f>8720+2050</f>
        <v>10770</v>
      </c>
      <c r="R18" s="40">
        <v>0</v>
      </c>
      <c r="S18" s="40">
        <v>0</v>
      </c>
      <c r="T18" s="40">
        <v>2880</v>
      </c>
      <c r="U18" s="40">
        <v>0</v>
      </c>
      <c r="V18" s="40">
        <v>0</v>
      </c>
      <c r="W18" s="40">
        <v>0</v>
      </c>
      <c r="X18" s="40">
        <v>640</v>
      </c>
      <c r="Y18" s="40">
        <v>37611</v>
      </c>
      <c r="Z18" s="40"/>
      <c r="AA18" s="40">
        <v>800</v>
      </c>
      <c r="AB18" s="40"/>
      <c r="AC18" s="38">
        <f t="shared" si="1"/>
        <v>43774</v>
      </c>
      <c r="AD18" s="38">
        <f t="shared" si="2"/>
        <v>862894</v>
      </c>
      <c r="AE18" s="39">
        <f t="shared" si="3"/>
        <v>594.2796143250688</v>
      </c>
    </row>
    <row r="19" spans="1:31" ht="11.25">
      <c r="A19" s="30" t="s">
        <v>108</v>
      </c>
      <c r="B19" s="40">
        <v>105</v>
      </c>
      <c r="C19" s="40">
        <v>1000</v>
      </c>
      <c r="D19" s="40">
        <v>763</v>
      </c>
      <c r="E19" s="36">
        <f t="shared" si="0"/>
        <v>1763</v>
      </c>
      <c r="F19" s="40">
        <v>440190</v>
      </c>
      <c r="G19" s="40">
        <v>39763</v>
      </c>
      <c r="H19" s="36">
        <v>76636</v>
      </c>
      <c r="I19" s="36">
        <v>12433</v>
      </c>
      <c r="J19" s="40">
        <v>0</v>
      </c>
      <c r="K19" s="40">
        <v>0</v>
      </c>
      <c r="L19" s="40">
        <v>10350</v>
      </c>
      <c r="M19" s="40">
        <v>2000</v>
      </c>
      <c r="N19" s="40">
        <v>35875</v>
      </c>
      <c r="O19" s="40">
        <v>2250</v>
      </c>
      <c r="P19" s="40">
        <v>2300</v>
      </c>
      <c r="Q19" s="40">
        <f>5105+1025</f>
        <v>6130</v>
      </c>
      <c r="R19" s="40">
        <v>760</v>
      </c>
      <c r="S19" s="40"/>
      <c r="T19" s="40">
        <v>3400</v>
      </c>
      <c r="U19" s="40"/>
      <c r="V19" s="40"/>
      <c r="W19" s="40">
        <v>700</v>
      </c>
      <c r="X19" s="40">
        <v>1300</v>
      </c>
      <c r="Y19" s="40">
        <v>29643</v>
      </c>
      <c r="Z19" s="40">
        <v>0</v>
      </c>
      <c r="AA19" s="40">
        <v>0</v>
      </c>
      <c r="AB19" s="40"/>
      <c r="AC19" s="38">
        <f t="shared" si="1"/>
        <v>30953</v>
      </c>
      <c r="AD19" s="38">
        <f t="shared" si="2"/>
        <v>665493</v>
      </c>
      <c r="AE19" s="39">
        <f t="shared" si="3"/>
        <v>528.1690476190477</v>
      </c>
    </row>
    <row r="20" spans="1:31" ht="11.25">
      <c r="A20" s="30" t="s">
        <v>109</v>
      </c>
      <c r="B20" s="40">
        <v>161</v>
      </c>
      <c r="C20" s="40">
        <v>3000</v>
      </c>
      <c r="D20" s="40">
        <v>1482</v>
      </c>
      <c r="E20" s="36">
        <f t="shared" si="0"/>
        <v>4482</v>
      </c>
      <c r="F20" s="40">
        <v>738252</v>
      </c>
      <c r="G20" s="40">
        <v>55200</v>
      </c>
      <c r="H20" s="36">
        <f>(F20+G20)*15.4%</f>
        <v>122191.608</v>
      </c>
      <c r="I20" s="36">
        <f>(F20+G20)*2.45%</f>
        <v>19439.574</v>
      </c>
      <c r="J20" s="40">
        <v>0</v>
      </c>
      <c r="K20" s="40">
        <v>0</v>
      </c>
      <c r="L20" s="40">
        <f>18600+2000</f>
        <v>20600</v>
      </c>
      <c r="M20" s="40">
        <v>4543</v>
      </c>
      <c r="N20" s="40">
        <v>35000</v>
      </c>
      <c r="O20" s="40">
        <f>6500+15000</f>
        <v>21500</v>
      </c>
      <c r="P20" s="40">
        <v>1500</v>
      </c>
      <c r="Q20" s="40">
        <f>6500+5367</f>
        <v>11867</v>
      </c>
      <c r="R20" s="40">
        <v>700</v>
      </c>
      <c r="S20" s="40">
        <v>1500</v>
      </c>
      <c r="T20" s="40">
        <v>2000</v>
      </c>
      <c r="U20" s="40"/>
      <c r="V20" s="40"/>
      <c r="W20" s="40">
        <v>50</v>
      </c>
      <c r="X20" s="40">
        <v>200</v>
      </c>
      <c r="Y20" s="40">
        <v>44718</v>
      </c>
      <c r="Z20" s="40"/>
      <c r="AA20" s="40"/>
      <c r="AB20" s="40"/>
      <c r="AC20" s="38">
        <f t="shared" si="1"/>
        <v>68942</v>
      </c>
      <c r="AD20" s="38">
        <f t="shared" si="2"/>
        <v>1083743.182</v>
      </c>
      <c r="AE20" s="39">
        <f t="shared" si="3"/>
        <v>560.9436759834368</v>
      </c>
    </row>
    <row r="21" spans="1:31" ht="11.25">
      <c r="A21" s="30" t="s">
        <v>110</v>
      </c>
      <c r="B21" s="40">
        <v>106</v>
      </c>
      <c r="C21" s="40">
        <v>1034</v>
      </c>
      <c r="D21" s="40">
        <v>862</v>
      </c>
      <c r="E21" s="36">
        <f t="shared" si="0"/>
        <v>1896</v>
      </c>
      <c r="F21" s="40">
        <v>479200</v>
      </c>
      <c r="G21" s="40">
        <v>40696</v>
      </c>
      <c r="H21" s="36">
        <v>81074</v>
      </c>
      <c r="I21" s="36">
        <v>12898</v>
      </c>
      <c r="J21" s="40">
        <v>0</v>
      </c>
      <c r="K21" s="40">
        <v>0</v>
      </c>
      <c r="L21" s="40">
        <v>11900</v>
      </c>
      <c r="M21" s="40">
        <v>3000</v>
      </c>
      <c r="N21" s="40">
        <v>29478</v>
      </c>
      <c r="O21" s="40">
        <f>2500+30000+5000</f>
        <v>37500</v>
      </c>
      <c r="P21" s="40">
        <v>1900</v>
      </c>
      <c r="Q21" s="40">
        <v>13611</v>
      </c>
      <c r="R21" s="40">
        <v>200</v>
      </c>
      <c r="S21" s="40">
        <v>1200</v>
      </c>
      <c r="T21" s="40">
        <v>1300</v>
      </c>
      <c r="U21" s="40">
        <v>0</v>
      </c>
      <c r="V21" s="40">
        <v>0</v>
      </c>
      <c r="W21" s="40">
        <v>110</v>
      </c>
      <c r="X21" s="40">
        <v>0</v>
      </c>
      <c r="Y21" s="40">
        <v>29005</v>
      </c>
      <c r="Z21" s="40">
        <v>0</v>
      </c>
      <c r="AA21" s="40">
        <v>0</v>
      </c>
      <c r="AB21" s="40"/>
      <c r="AC21" s="38">
        <f t="shared" si="1"/>
        <v>72617</v>
      </c>
      <c r="AD21" s="38">
        <f t="shared" si="2"/>
        <v>744968</v>
      </c>
      <c r="AE21" s="39">
        <f t="shared" si="3"/>
        <v>585.6666666666666</v>
      </c>
    </row>
    <row r="22" spans="1:31" ht="11.25">
      <c r="A22" s="30" t="s">
        <v>111</v>
      </c>
      <c r="B22" s="40">
        <v>148</v>
      </c>
      <c r="C22" s="40">
        <v>2000</v>
      </c>
      <c r="D22" s="40">
        <v>1320</v>
      </c>
      <c r="E22" s="36">
        <f t="shared" si="0"/>
        <v>3320</v>
      </c>
      <c r="F22" s="40">
        <v>648671</v>
      </c>
      <c r="G22" s="40">
        <v>52851</v>
      </c>
      <c r="H22" s="36">
        <v>108766</v>
      </c>
      <c r="I22" s="36">
        <v>17304</v>
      </c>
      <c r="J22" s="40">
        <v>0</v>
      </c>
      <c r="K22" s="40">
        <v>0</v>
      </c>
      <c r="L22" s="40">
        <f>9190+2000</f>
        <v>11190</v>
      </c>
      <c r="M22" s="40">
        <f>5000+2500</f>
        <v>7500</v>
      </c>
      <c r="N22" s="40">
        <v>32148</v>
      </c>
      <c r="O22" s="40">
        <v>2700</v>
      </c>
      <c r="P22" s="40">
        <v>2000</v>
      </c>
      <c r="Q22" s="40">
        <v>18600</v>
      </c>
      <c r="R22" s="40">
        <v>700</v>
      </c>
      <c r="S22" s="40">
        <v>700</v>
      </c>
      <c r="T22" s="40">
        <v>1000</v>
      </c>
      <c r="U22" s="40">
        <v>0</v>
      </c>
      <c r="V22" s="40">
        <v>0</v>
      </c>
      <c r="W22" s="40">
        <v>300</v>
      </c>
      <c r="X22" s="40">
        <v>1000</v>
      </c>
      <c r="Y22" s="40">
        <v>37698</v>
      </c>
      <c r="Z22" s="40">
        <v>0</v>
      </c>
      <c r="AA22" s="40">
        <v>500</v>
      </c>
      <c r="AB22" s="40"/>
      <c r="AC22" s="38">
        <f t="shared" si="1"/>
        <v>49510</v>
      </c>
      <c r="AD22" s="38">
        <f t="shared" si="2"/>
        <v>946948</v>
      </c>
      <c r="AE22" s="39">
        <f t="shared" si="3"/>
        <v>533.1914414414414</v>
      </c>
    </row>
    <row r="23" spans="1:31" ht="11.25">
      <c r="A23" s="30" t="s">
        <v>112</v>
      </c>
      <c r="B23" s="40">
        <v>144</v>
      </c>
      <c r="C23" s="40">
        <v>1000</v>
      </c>
      <c r="D23" s="40">
        <v>1545</v>
      </c>
      <c r="E23" s="36">
        <f t="shared" si="0"/>
        <v>2545</v>
      </c>
      <c r="F23" s="40">
        <v>716780</v>
      </c>
      <c r="G23" s="40">
        <v>58900</v>
      </c>
      <c r="H23" s="36">
        <v>124728</v>
      </c>
      <c r="I23" s="36">
        <v>19843</v>
      </c>
      <c r="J23" s="40">
        <v>0</v>
      </c>
      <c r="K23" s="40">
        <v>0</v>
      </c>
      <c r="L23" s="40">
        <f>17300+500</f>
        <v>17800</v>
      </c>
      <c r="M23" s="40">
        <f>8000+500</f>
        <v>8500</v>
      </c>
      <c r="N23" s="40">
        <v>48420</v>
      </c>
      <c r="O23" s="40">
        <f>2500+7000</f>
        <v>9500</v>
      </c>
      <c r="P23" s="40">
        <v>900</v>
      </c>
      <c r="Q23" s="40">
        <v>11100</v>
      </c>
      <c r="R23" s="40">
        <v>675</v>
      </c>
      <c r="S23" s="40">
        <v>0</v>
      </c>
      <c r="T23" s="40">
        <v>1125</v>
      </c>
      <c r="U23" s="40">
        <v>500</v>
      </c>
      <c r="V23" s="40">
        <v>0</v>
      </c>
      <c r="W23" s="40">
        <v>400</v>
      </c>
      <c r="X23" s="40">
        <v>680</v>
      </c>
      <c r="Y23" s="40">
        <v>42633</v>
      </c>
      <c r="Z23" s="40">
        <v>0</v>
      </c>
      <c r="AA23" s="40">
        <v>400</v>
      </c>
      <c r="AB23" s="40"/>
      <c r="AC23" s="38">
        <f t="shared" si="1"/>
        <v>54125</v>
      </c>
      <c r="AD23" s="38">
        <f t="shared" si="2"/>
        <v>1065429</v>
      </c>
      <c r="AE23" s="39">
        <f t="shared" si="3"/>
        <v>616.5677083333334</v>
      </c>
    </row>
    <row r="24" spans="1:31" ht="11.25">
      <c r="A24" s="30" t="s">
        <v>113</v>
      </c>
      <c r="B24" s="40">
        <v>158</v>
      </c>
      <c r="C24" s="40">
        <v>2000</v>
      </c>
      <c r="D24" s="40">
        <v>1343</v>
      </c>
      <c r="E24" s="36">
        <f t="shared" si="0"/>
        <v>3343</v>
      </c>
      <c r="F24" s="40">
        <v>640949</v>
      </c>
      <c r="G24" s="40">
        <v>59946</v>
      </c>
      <c r="H24" s="36">
        <v>107987</v>
      </c>
      <c r="I24" s="36">
        <v>17793</v>
      </c>
      <c r="J24" s="40">
        <v>4000</v>
      </c>
      <c r="K24" s="40">
        <v>0</v>
      </c>
      <c r="L24" s="40">
        <v>20380</v>
      </c>
      <c r="M24" s="40">
        <v>2000</v>
      </c>
      <c r="N24" s="40">
        <v>55000</v>
      </c>
      <c r="O24" s="40">
        <v>2000</v>
      </c>
      <c r="P24" s="40">
        <v>2000</v>
      </c>
      <c r="Q24" s="40">
        <v>22000</v>
      </c>
      <c r="R24" s="40">
        <v>2000</v>
      </c>
      <c r="S24" s="40">
        <v>2000</v>
      </c>
      <c r="T24" s="40">
        <v>2000</v>
      </c>
      <c r="U24" s="40">
        <v>0</v>
      </c>
      <c r="V24" s="40">
        <v>0</v>
      </c>
      <c r="W24" s="40">
        <v>500</v>
      </c>
      <c r="X24" s="40">
        <v>1500</v>
      </c>
      <c r="Y24" s="40">
        <v>40593</v>
      </c>
      <c r="Z24" s="40">
        <v>0</v>
      </c>
      <c r="AA24" s="40">
        <v>0</v>
      </c>
      <c r="AB24" s="40"/>
      <c r="AC24" s="38">
        <f t="shared" si="1"/>
        <v>63723</v>
      </c>
      <c r="AD24" s="38">
        <f t="shared" si="2"/>
        <v>985991</v>
      </c>
      <c r="AE24" s="39">
        <f t="shared" si="3"/>
        <v>520.037447257384</v>
      </c>
    </row>
    <row r="25" spans="1:31" ht="11.25">
      <c r="A25" s="30" t="s">
        <v>114</v>
      </c>
      <c r="B25" s="40">
        <v>137</v>
      </c>
      <c r="C25" s="40">
        <v>500</v>
      </c>
      <c r="D25" s="40">
        <v>1224</v>
      </c>
      <c r="E25" s="36">
        <f t="shared" si="0"/>
        <v>1724</v>
      </c>
      <c r="F25" s="40">
        <v>611480</v>
      </c>
      <c r="G25" s="40">
        <v>49800</v>
      </c>
      <c r="H25" s="36">
        <v>107600</v>
      </c>
      <c r="I25" s="36">
        <v>17120</v>
      </c>
      <c r="J25" s="40">
        <v>0</v>
      </c>
      <c r="K25" s="40">
        <v>1000</v>
      </c>
      <c r="L25" s="40">
        <v>15000</v>
      </c>
      <c r="M25" s="40">
        <v>5000</v>
      </c>
      <c r="N25" s="40">
        <v>47040</v>
      </c>
      <c r="O25" s="40">
        <f>5000+50000</f>
        <v>55000</v>
      </c>
      <c r="P25" s="40">
        <v>1700</v>
      </c>
      <c r="Q25" s="40">
        <v>12070</v>
      </c>
      <c r="R25" s="40">
        <v>1000</v>
      </c>
      <c r="S25" s="40">
        <v>0</v>
      </c>
      <c r="T25" s="40">
        <v>3000</v>
      </c>
      <c r="U25" s="40">
        <v>0</v>
      </c>
      <c r="V25" s="40">
        <v>0</v>
      </c>
      <c r="W25" s="40">
        <v>500</v>
      </c>
      <c r="X25" s="40">
        <v>800</v>
      </c>
      <c r="Y25" s="40">
        <v>35388</v>
      </c>
      <c r="Z25" s="40"/>
      <c r="AA25" s="40"/>
      <c r="AB25" s="40"/>
      <c r="AC25" s="38">
        <f t="shared" si="1"/>
        <v>96794</v>
      </c>
      <c r="AD25" s="38">
        <f t="shared" si="2"/>
        <v>965222</v>
      </c>
      <c r="AE25" s="39">
        <f t="shared" si="3"/>
        <v>587.1180048661801</v>
      </c>
    </row>
    <row r="26" spans="1:31" ht="11.25">
      <c r="A26" s="30" t="s">
        <v>115</v>
      </c>
      <c r="B26" s="40">
        <v>121</v>
      </c>
      <c r="C26" s="40">
        <v>750</v>
      </c>
      <c r="D26" s="40">
        <v>1048</v>
      </c>
      <c r="E26" s="36">
        <f t="shared" si="0"/>
        <v>1798</v>
      </c>
      <c r="F26" s="40">
        <v>573309</v>
      </c>
      <c r="G26" s="40">
        <v>40100</v>
      </c>
      <c r="H26" s="36">
        <f>(F26+G26)*15.4%</f>
        <v>94464.986</v>
      </c>
      <c r="I26" s="36">
        <f>(F26+G26)*2.45%</f>
        <v>15028.5205</v>
      </c>
      <c r="J26" s="40"/>
      <c r="K26" s="40"/>
      <c r="L26" s="40">
        <v>13350</v>
      </c>
      <c r="M26" s="40">
        <v>3000</v>
      </c>
      <c r="N26" s="40">
        <v>20500</v>
      </c>
      <c r="O26" s="40">
        <v>7000</v>
      </c>
      <c r="P26" s="40">
        <v>1500</v>
      </c>
      <c r="Q26" s="40">
        <f>7130+2000</f>
        <v>9130</v>
      </c>
      <c r="R26" s="40">
        <v>1470</v>
      </c>
      <c r="S26" s="40">
        <v>0</v>
      </c>
      <c r="T26" s="40">
        <v>1000</v>
      </c>
      <c r="U26" s="40">
        <v>0</v>
      </c>
      <c r="V26" s="40">
        <v>0</v>
      </c>
      <c r="W26" s="40">
        <v>550</v>
      </c>
      <c r="X26" s="40">
        <v>1800</v>
      </c>
      <c r="Y26" s="40">
        <v>37926</v>
      </c>
      <c r="Z26" s="40">
        <v>0</v>
      </c>
      <c r="AA26" s="40">
        <v>0</v>
      </c>
      <c r="AB26" s="40"/>
      <c r="AC26" s="38">
        <f t="shared" si="1"/>
        <v>40598</v>
      </c>
      <c r="AD26" s="38">
        <f t="shared" si="2"/>
        <v>821926.5065</v>
      </c>
      <c r="AE26" s="39">
        <f t="shared" si="3"/>
        <v>566.0650871212122</v>
      </c>
    </row>
    <row r="27" spans="1:31" ht="11.25">
      <c r="A27" s="30" t="s">
        <v>116</v>
      </c>
      <c r="B27" s="40">
        <v>116</v>
      </c>
      <c r="C27" s="40">
        <v>536</v>
      </c>
      <c r="D27" s="40">
        <v>948</v>
      </c>
      <c r="E27" s="36">
        <f t="shared" si="0"/>
        <v>1484</v>
      </c>
      <c r="F27" s="40">
        <v>516355</v>
      </c>
      <c r="G27" s="40">
        <v>46301</v>
      </c>
      <c r="H27" s="36">
        <v>86741</v>
      </c>
      <c r="I27" s="36">
        <v>13800</v>
      </c>
      <c r="J27" s="40">
        <v>0</v>
      </c>
      <c r="K27" s="40">
        <v>0</v>
      </c>
      <c r="L27" s="40">
        <f>12974+2500</f>
        <v>15474</v>
      </c>
      <c r="M27" s="40">
        <f>2000+500</f>
        <v>2500</v>
      </c>
      <c r="N27" s="40">
        <v>36798</v>
      </c>
      <c r="O27" s="40">
        <f>5500+6200</f>
        <v>11700</v>
      </c>
      <c r="P27" s="40">
        <v>800</v>
      </c>
      <c r="Q27" s="40">
        <f>12500+4100</f>
        <v>16600</v>
      </c>
      <c r="R27" s="40">
        <v>600</v>
      </c>
      <c r="S27" s="40">
        <v>0</v>
      </c>
      <c r="T27" s="40">
        <v>2400</v>
      </c>
      <c r="U27" s="40">
        <v>0</v>
      </c>
      <c r="V27" s="40">
        <v>0</v>
      </c>
      <c r="W27" s="40">
        <v>0</v>
      </c>
      <c r="X27" s="40">
        <v>600</v>
      </c>
      <c r="Y27" s="40">
        <v>31279</v>
      </c>
      <c r="Z27" s="40">
        <v>0</v>
      </c>
      <c r="AA27" s="40">
        <v>400</v>
      </c>
      <c r="AB27" s="40"/>
      <c r="AC27" s="38">
        <f t="shared" si="1"/>
        <v>52558</v>
      </c>
      <c r="AD27" s="38">
        <f t="shared" si="2"/>
        <v>783832</v>
      </c>
      <c r="AE27" s="39">
        <f t="shared" si="3"/>
        <v>563.0977011494253</v>
      </c>
    </row>
    <row r="28" spans="1:31" ht="11.25">
      <c r="A28" s="30" t="s">
        <v>117</v>
      </c>
      <c r="B28" s="40">
        <v>144</v>
      </c>
      <c r="C28" s="40">
        <v>0</v>
      </c>
      <c r="D28" s="40">
        <v>1434</v>
      </c>
      <c r="E28" s="36">
        <f t="shared" si="0"/>
        <v>1434</v>
      </c>
      <c r="F28" s="40">
        <v>698597</v>
      </c>
      <c r="G28" s="40">
        <v>55000</v>
      </c>
      <c r="H28" s="36">
        <v>122343</v>
      </c>
      <c r="I28" s="36">
        <v>19464</v>
      </c>
      <c r="J28" s="40">
        <v>0</v>
      </c>
      <c r="K28" s="40">
        <v>0</v>
      </c>
      <c r="L28" s="40">
        <v>7980</v>
      </c>
      <c r="M28" s="40">
        <v>5960</v>
      </c>
      <c r="N28" s="40">
        <v>34440</v>
      </c>
      <c r="O28" s="40">
        <f>7500+5000</f>
        <v>12500</v>
      </c>
      <c r="P28" s="40">
        <v>900</v>
      </c>
      <c r="Q28" s="40">
        <v>18500</v>
      </c>
      <c r="R28" s="40">
        <v>700</v>
      </c>
      <c r="S28" s="40">
        <v>0</v>
      </c>
      <c r="T28" s="40">
        <v>1200</v>
      </c>
      <c r="U28" s="40">
        <v>0</v>
      </c>
      <c r="V28" s="40">
        <v>0</v>
      </c>
      <c r="W28" s="40">
        <v>300</v>
      </c>
      <c r="X28" s="40">
        <v>1500</v>
      </c>
      <c r="Y28" s="40">
        <v>40845</v>
      </c>
      <c r="Z28" s="40">
        <v>0</v>
      </c>
      <c r="AA28" s="40">
        <v>0</v>
      </c>
      <c r="AB28" s="40"/>
      <c r="AC28" s="38">
        <f t="shared" si="1"/>
        <v>50974</v>
      </c>
      <c r="AD28" s="38">
        <f t="shared" si="2"/>
        <v>1021663</v>
      </c>
      <c r="AE28" s="39">
        <f t="shared" si="3"/>
        <v>591.240162037037</v>
      </c>
    </row>
    <row r="29" spans="1:31" ht="11.25">
      <c r="A29" s="30" t="s">
        <v>118</v>
      </c>
      <c r="B29" s="40">
        <v>158</v>
      </c>
      <c r="C29" s="40">
        <v>1132</v>
      </c>
      <c r="D29" s="40">
        <v>1260</v>
      </c>
      <c r="E29" s="36">
        <f t="shared" si="0"/>
        <v>2392</v>
      </c>
      <c r="F29" s="40">
        <v>632834</v>
      </c>
      <c r="G29" s="40">
        <v>53020</v>
      </c>
      <c r="H29" s="36">
        <v>106448</v>
      </c>
      <c r="I29" s="36">
        <v>16935</v>
      </c>
      <c r="J29" s="40">
        <v>0</v>
      </c>
      <c r="K29" s="40">
        <v>1000</v>
      </c>
      <c r="L29" s="40">
        <f>26146+5000</f>
        <v>31146</v>
      </c>
      <c r="M29" s="40">
        <v>2000</v>
      </c>
      <c r="N29" s="40">
        <v>66762</v>
      </c>
      <c r="O29" s="40">
        <f>4000+30000</f>
        <v>34000</v>
      </c>
      <c r="P29" s="40">
        <v>200</v>
      </c>
      <c r="Q29" s="40">
        <v>22538</v>
      </c>
      <c r="R29" s="40">
        <v>948</v>
      </c>
      <c r="S29" s="40">
        <v>0</v>
      </c>
      <c r="T29" s="40">
        <v>1600</v>
      </c>
      <c r="U29" s="40">
        <v>0</v>
      </c>
      <c r="V29" s="40">
        <v>0</v>
      </c>
      <c r="W29" s="40">
        <v>50</v>
      </c>
      <c r="X29" s="40">
        <v>1000</v>
      </c>
      <c r="Y29" s="40">
        <v>37392</v>
      </c>
      <c r="Z29" s="40">
        <v>0</v>
      </c>
      <c r="AA29" s="40">
        <v>800</v>
      </c>
      <c r="AB29" s="40"/>
      <c r="AC29" s="38">
        <f t="shared" si="1"/>
        <v>97674</v>
      </c>
      <c r="AD29" s="38">
        <f t="shared" si="2"/>
        <v>1011065</v>
      </c>
      <c r="AE29" s="39">
        <f t="shared" si="3"/>
        <v>533.2621308016878</v>
      </c>
    </row>
    <row r="30" spans="1:31" ht="11.25">
      <c r="A30" s="30" t="s">
        <v>119</v>
      </c>
      <c r="B30" s="40">
        <v>103</v>
      </c>
      <c r="C30" s="40">
        <v>800</v>
      </c>
      <c r="D30" s="40">
        <v>895</v>
      </c>
      <c r="E30" s="36">
        <f t="shared" si="0"/>
        <v>1695</v>
      </c>
      <c r="F30" s="40">
        <v>472184</v>
      </c>
      <c r="G30" s="40">
        <v>37665</v>
      </c>
      <c r="H30" s="36">
        <f>(F30+G30)*15.4%</f>
        <v>78516.746</v>
      </c>
      <c r="I30" s="36">
        <f>(F30+G30)*2.45%</f>
        <v>12491.300500000001</v>
      </c>
      <c r="J30" s="40">
        <v>0</v>
      </c>
      <c r="K30" s="40">
        <v>500</v>
      </c>
      <c r="L30" s="40">
        <f>13330+2000</f>
        <v>15330</v>
      </c>
      <c r="M30" s="40">
        <v>500</v>
      </c>
      <c r="N30" s="40">
        <v>24880</v>
      </c>
      <c r="O30" s="40">
        <v>500</v>
      </c>
      <c r="P30" s="40">
        <v>800</v>
      </c>
      <c r="Q30" s="40">
        <f>10000+1500</f>
        <v>11500</v>
      </c>
      <c r="R30" s="40">
        <v>1000</v>
      </c>
      <c r="S30" s="40">
        <v>0</v>
      </c>
      <c r="T30" s="40">
        <v>2000</v>
      </c>
      <c r="U30" s="40">
        <v>0</v>
      </c>
      <c r="V30" s="40"/>
      <c r="W30" s="40">
        <v>300</v>
      </c>
      <c r="X30" s="40">
        <v>3800</v>
      </c>
      <c r="Y30" s="40">
        <v>27257</v>
      </c>
      <c r="Z30" s="40">
        <v>0</v>
      </c>
      <c r="AA30" s="40">
        <v>500</v>
      </c>
      <c r="AB30" s="40"/>
      <c r="AC30" s="38">
        <f t="shared" si="1"/>
        <v>38425</v>
      </c>
      <c r="AD30" s="38">
        <f t="shared" si="2"/>
        <v>691419.0465</v>
      </c>
      <c r="AE30" s="39">
        <f t="shared" si="3"/>
        <v>559.4005230582525</v>
      </c>
    </row>
    <row r="31" spans="1:31" ht="11.25">
      <c r="A31" s="30" t="s">
        <v>120</v>
      </c>
      <c r="B31" s="40">
        <v>129</v>
      </c>
      <c r="C31" s="40">
        <v>700</v>
      </c>
      <c r="D31" s="40">
        <v>1055</v>
      </c>
      <c r="E31" s="36">
        <f t="shared" si="0"/>
        <v>1755</v>
      </c>
      <c r="F31" s="40">
        <v>541441</v>
      </c>
      <c r="G31" s="40">
        <v>41671</v>
      </c>
      <c r="H31" s="36">
        <f>(F31+G31)*15.4%</f>
        <v>89799.24799999999</v>
      </c>
      <c r="I31" s="36">
        <f>(F31+G31)*2.45%</f>
        <v>14286.244</v>
      </c>
      <c r="J31" s="40">
        <v>0</v>
      </c>
      <c r="K31" s="40">
        <v>2000</v>
      </c>
      <c r="L31" s="40">
        <v>14000</v>
      </c>
      <c r="M31" s="40">
        <v>3000</v>
      </c>
      <c r="N31" s="40">
        <v>51875</v>
      </c>
      <c r="O31" s="40">
        <v>0</v>
      </c>
      <c r="P31" s="40">
        <v>800</v>
      </c>
      <c r="Q31" s="40">
        <v>22558</v>
      </c>
      <c r="R31" s="40">
        <v>800</v>
      </c>
      <c r="S31" s="40">
        <v>750</v>
      </c>
      <c r="T31" s="40">
        <v>1700</v>
      </c>
      <c r="U31" s="40">
        <v>0</v>
      </c>
      <c r="V31" s="40">
        <v>0</v>
      </c>
      <c r="W31" s="40">
        <v>0</v>
      </c>
      <c r="X31" s="40">
        <v>1500</v>
      </c>
      <c r="Y31" s="40">
        <v>33303</v>
      </c>
      <c r="Z31" s="40">
        <v>0</v>
      </c>
      <c r="AA31" s="40">
        <v>0</v>
      </c>
      <c r="AB31" s="40"/>
      <c r="AC31" s="38">
        <f t="shared" si="1"/>
        <v>48863</v>
      </c>
      <c r="AD31" s="38">
        <f t="shared" si="2"/>
        <v>821238.492</v>
      </c>
      <c r="AE31" s="39">
        <f t="shared" si="3"/>
        <v>530.5158217054263</v>
      </c>
    </row>
    <row r="32" spans="1:31" ht="11.25">
      <c r="A32" s="30" t="s">
        <v>121</v>
      </c>
      <c r="B32" s="40">
        <v>130</v>
      </c>
      <c r="C32" s="40">
        <v>400</v>
      </c>
      <c r="D32" s="40">
        <v>1026</v>
      </c>
      <c r="E32" s="36">
        <f t="shared" si="0"/>
        <v>1426</v>
      </c>
      <c r="F32" s="40">
        <v>570036</v>
      </c>
      <c r="G32" s="40">
        <v>60048</v>
      </c>
      <c r="H32" s="36">
        <f>(F32+G32)*15.4%</f>
        <v>97032.936</v>
      </c>
      <c r="I32" s="36">
        <f>(F32+G32)*2.45%</f>
        <v>15437.058</v>
      </c>
      <c r="J32" s="40">
        <v>0</v>
      </c>
      <c r="K32" s="40">
        <v>6500</v>
      </c>
      <c r="L32" s="40">
        <f>51700+10263+10142</f>
        <v>72105</v>
      </c>
      <c r="M32" s="40">
        <v>3000</v>
      </c>
      <c r="N32" s="40">
        <v>7175</v>
      </c>
      <c r="O32" s="40">
        <f>5027+200000</f>
        <v>205027</v>
      </c>
      <c r="P32" s="40">
        <v>400</v>
      </c>
      <c r="Q32" s="40">
        <v>2785</v>
      </c>
      <c r="R32" s="40">
        <v>1160</v>
      </c>
      <c r="S32" s="40">
        <v>0</v>
      </c>
      <c r="T32" s="40">
        <v>1414</v>
      </c>
      <c r="U32" s="40">
        <v>0</v>
      </c>
      <c r="V32" s="40">
        <v>0</v>
      </c>
      <c r="W32" s="40">
        <v>300</v>
      </c>
      <c r="X32" s="40">
        <v>460</v>
      </c>
      <c r="Y32" s="40">
        <v>37366</v>
      </c>
      <c r="Z32" s="40">
        <v>0</v>
      </c>
      <c r="AA32" s="40">
        <v>600</v>
      </c>
      <c r="AB32" s="40"/>
      <c r="AC32" s="38">
        <f t="shared" si="1"/>
        <v>295177</v>
      </c>
      <c r="AD32" s="38">
        <f t="shared" si="2"/>
        <v>1082271.994</v>
      </c>
      <c r="AE32" s="39">
        <f t="shared" si="3"/>
        <v>693.7640987179487</v>
      </c>
    </row>
    <row r="33" spans="1:31" ht="11.25">
      <c r="A33" s="30" t="s">
        <v>122</v>
      </c>
      <c r="B33" s="40">
        <v>225</v>
      </c>
      <c r="C33" s="40">
        <v>1100</v>
      </c>
      <c r="D33" s="40">
        <v>2105</v>
      </c>
      <c r="E33" s="36">
        <f t="shared" si="0"/>
        <v>3205</v>
      </c>
      <c r="F33" s="40">
        <v>1006601</v>
      </c>
      <c r="G33" s="40">
        <v>80000</v>
      </c>
      <c r="H33" s="36">
        <v>174641</v>
      </c>
      <c r="I33" s="36">
        <v>27784</v>
      </c>
      <c r="J33" s="40"/>
      <c r="K33" s="40">
        <v>3800</v>
      </c>
      <c r="L33" s="40">
        <f>18160+3000</f>
        <v>21160</v>
      </c>
      <c r="M33" s="40">
        <v>7000</v>
      </c>
      <c r="N33" s="40">
        <v>88290</v>
      </c>
      <c r="O33" s="40">
        <f>11200+50000</f>
        <v>61200</v>
      </c>
      <c r="P33" s="40">
        <v>3000</v>
      </c>
      <c r="Q33" s="40">
        <f>7000+3950+2870</f>
        <v>13820</v>
      </c>
      <c r="R33" s="40">
        <v>600</v>
      </c>
      <c r="S33" s="40">
        <v>0</v>
      </c>
      <c r="T33" s="40">
        <v>2500</v>
      </c>
      <c r="U33" s="40">
        <v>0</v>
      </c>
      <c r="V33" s="40">
        <v>0</v>
      </c>
      <c r="W33" s="40">
        <v>650</v>
      </c>
      <c r="X33" s="40">
        <v>850</v>
      </c>
      <c r="Y33" s="40">
        <v>58591</v>
      </c>
      <c r="Z33" s="40">
        <v>0</v>
      </c>
      <c r="AA33" s="40">
        <v>0</v>
      </c>
      <c r="AB33" s="40"/>
      <c r="AC33" s="38">
        <f t="shared" si="1"/>
        <v>117785</v>
      </c>
      <c r="AD33" s="38">
        <f t="shared" si="2"/>
        <v>1553692</v>
      </c>
      <c r="AE33" s="39">
        <f t="shared" si="3"/>
        <v>575.4414814814814</v>
      </c>
    </row>
    <row r="34" spans="1:31" ht="11.25">
      <c r="A34" s="30" t="s">
        <v>123</v>
      </c>
      <c r="B34" s="40">
        <v>230</v>
      </c>
      <c r="C34" s="40">
        <v>2000</v>
      </c>
      <c r="D34" s="40">
        <v>1861</v>
      </c>
      <c r="E34" s="36">
        <f t="shared" si="0"/>
        <v>3861</v>
      </c>
      <c r="F34" s="40">
        <v>951497</v>
      </c>
      <c r="G34" s="40">
        <v>75033</v>
      </c>
      <c r="H34" s="36">
        <f>(F34+G34)*15.4%</f>
        <v>158085.62</v>
      </c>
      <c r="I34" s="36">
        <f>(F34+G34)*2.45%</f>
        <v>25149.985</v>
      </c>
      <c r="J34" s="40">
        <v>0</v>
      </c>
      <c r="K34" s="40">
        <v>13000</v>
      </c>
      <c r="L34" s="40">
        <v>35000</v>
      </c>
      <c r="M34" s="40">
        <f>800+3000</f>
        <v>3800</v>
      </c>
      <c r="N34" s="40">
        <v>38950</v>
      </c>
      <c r="O34" s="40">
        <f>4600+4450</f>
        <v>9050</v>
      </c>
      <c r="P34" s="40">
        <v>1000</v>
      </c>
      <c r="Q34" s="40">
        <f>24000+2153</f>
        <v>26153</v>
      </c>
      <c r="R34" s="40">
        <v>1100</v>
      </c>
      <c r="S34" s="40">
        <v>0</v>
      </c>
      <c r="T34" s="40">
        <v>2800</v>
      </c>
      <c r="U34" s="40">
        <v>0</v>
      </c>
      <c r="V34" s="40">
        <v>0</v>
      </c>
      <c r="W34" s="40">
        <v>300</v>
      </c>
      <c r="X34" s="40">
        <v>5800</v>
      </c>
      <c r="Y34" s="40">
        <v>53173</v>
      </c>
      <c r="Z34" s="40">
        <v>0</v>
      </c>
      <c r="AA34" s="40">
        <v>500</v>
      </c>
      <c r="AB34" s="40"/>
      <c r="AC34" s="38">
        <f t="shared" si="1"/>
        <v>102364</v>
      </c>
      <c r="AD34" s="38">
        <f t="shared" si="2"/>
        <v>1404252.6050000002</v>
      </c>
      <c r="AE34" s="39">
        <f t="shared" si="3"/>
        <v>508.78717572463773</v>
      </c>
    </row>
    <row r="35" spans="1:31" ht="11.25">
      <c r="A35" s="30" t="s">
        <v>124</v>
      </c>
      <c r="B35" s="40">
        <v>102</v>
      </c>
      <c r="C35" s="40">
        <v>203</v>
      </c>
      <c r="D35" s="40">
        <v>961</v>
      </c>
      <c r="E35" s="36">
        <f t="shared" si="0"/>
        <v>1164</v>
      </c>
      <c r="F35" s="40">
        <v>508692</v>
      </c>
      <c r="G35" s="40">
        <v>39714</v>
      </c>
      <c r="H35" s="36">
        <f>(F35+G35)*15.4%</f>
        <v>84454.524</v>
      </c>
      <c r="I35" s="36">
        <f>(F35+G35)*2.45%</f>
        <v>13435.947</v>
      </c>
      <c r="J35" s="40">
        <v>0</v>
      </c>
      <c r="K35" s="40">
        <v>2000</v>
      </c>
      <c r="L35" s="40">
        <v>8687</v>
      </c>
      <c r="M35" s="40">
        <v>0</v>
      </c>
      <c r="N35" s="40">
        <v>48016</v>
      </c>
      <c r="O35" s="40">
        <f>3000+40000</f>
        <v>43000</v>
      </c>
      <c r="P35" s="40">
        <v>959</v>
      </c>
      <c r="Q35" s="40">
        <v>17624</v>
      </c>
      <c r="R35" s="40">
        <v>788</v>
      </c>
      <c r="S35" s="40">
        <v>298</v>
      </c>
      <c r="T35" s="40">
        <v>888</v>
      </c>
      <c r="U35" s="40">
        <v>0</v>
      </c>
      <c r="V35" s="40">
        <v>0</v>
      </c>
      <c r="W35" s="40">
        <v>0</v>
      </c>
      <c r="X35" s="40">
        <v>2019</v>
      </c>
      <c r="Y35" s="40">
        <v>24493</v>
      </c>
      <c r="Z35" s="40">
        <v>0</v>
      </c>
      <c r="AA35" s="40">
        <v>0</v>
      </c>
      <c r="AB35" s="40"/>
      <c r="AC35" s="38">
        <f t="shared" si="1"/>
        <v>77427</v>
      </c>
      <c r="AD35" s="38">
        <f t="shared" si="2"/>
        <v>796232.471</v>
      </c>
      <c r="AE35" s="39">
        <f t="shared" si="3"/>
        <v>650.5167246732027</v>
      </c>
    </row>
    <row r="36" spans="1:31" ht="11.25">
      <c r="A36" s="30" t="s">
        <v>125</v>
      </c>
      <c r="B36" s="40">
        <v>190</v>
      </c>
      <c r="C36" s="40">
        <v>1132</v>
      </c>
      <c r="D36" s="40">
        <v>1757</v>
      </c>
      <c r="E36" s="36">
        <f t="shared" si="0"/>
        <v>2889</v>
      </c>
      <c r="F36" s="40">
        <v>854122</v>
      </c>
      <c r="G36" s="40">
        <v>68792</v>
      </c>
      <c r="H36" s="36">
        <v>143106</v>
      </c>
      <c r="I36" s="36">
        <v>22767</v>
      </c>
      <c r="J36" s="40">
        <v>0</v>
      </c>
      <c r="K36" s="40">
        <v>0</v>
      </c>
      <c r="L36" s="40">
        <v>16098</v>
      </c>
      <c r="M36" s="40">
        <v>5000</v>
      </c>
      <c r="N36" s="40">
        <v>45362</v>
      </c>
      <c r="O36" s="40">
        <f>8000+45000</f>
        <v>53000</v>
      </c>
      <c r="P36" s="40">
        <v>2000</v>
      </c>
      <c r="Q36" s="40">
        <v>77126</v>
      </c>
      <c r="R36" s="40">
        <v>600</v>
      </c>
      <c r="S36" s="40">
        <v>700</v>
      </c>
      <c r="T36" s="40">
        <v>1200</v>
      </c>
      <c r="U36" s="40">
        <v>0</v>
      </c>
      <c r="V36" s="40">
        <v>0</v>
      </c>
      <c r="W36" s="40">
        <v>800</v>
      </c>
      <c r="X36" s="40">
        <v>500</v>
      </c>
      <c r="Y36" s="40">
        <v>51610</v>
      </c>
      <c r="Z36" s="40">
        <v>0</v>
      </c>
      <c r="AA36" s="40">
        <v>1500</v>
      </c>
      <c r="AB36" s="40"/>
      <c r="AC36" s="38">
        <f t="shared" si="1"/>
        <v>161413</v>
      </c>
      <c r="AD36" s="38">
        <f t="shared" si="2"/>
        <v>1347172</v>
      </c>
      <c r="AE36" s="39">
        <f t="shared" si="3"/>
        <v>590.8649122807017</v>
      </c>
    </row>
    <row r="37" spans="1:31" ht="11.25">
      <c r="A37" s="30" t="s">
        <v>126</v>
      </c>
      <c r="B37" s="40">
        <v>138</v>
      </c>
      <c r="C37" s="40">
        <v>650</v>
      </c>
      <c r="D37" s="40">
        <v>1234</v>
      </c>
      <c r="E37" s="36">
        <f t="shared" si="0"/>
        <v>1884</v>
      </c>
      <c r="F37" s="40">
        <v>633136</v>
      </c>
      <c r="G37" s="40">
        <v>54639</v>
      </c>
      <c r="H37" s="36">
        <v>110821</v>
      </c>
      <c r="I37" s="36">
        <v>17630</v>
      </c>
      <c r="J37" s="40"/>
      <c r="K37" s="40">
        <v>1000</v>
      </c>
      <c r="L37" s="40">
        <f>15000+3300</f>
        <v>18300</v>
      </c>
      <c r="M37" s="40">
        <v>5000</v>
      </c>
      <c r="N37" s="40">
        <v>45000</v>
      </c>
      <c r="O37" s="40">
        <f>4000+55000+1700</f>
        <v>60700</v>
      </c>
      <c r="P37" s="40">
        <v>1600</v>
      </c>
      <c r="Q37" s="40">
        <v>13350</v>
      </c>
      <c r="R37" s="40">
        <v>800</v>
      </c>
      <c r="S37" s="40">
        <v>0</v>
      </c>
      <c r="T37" s="40">
        <v>1900</v>
      </c>
      <c r="U37" s="40">
        <v>0</v>
      </c>
      <c r="V37" s="40">
        <v>0</v>
      </c>
      <c r="W37" s="40">
        <v>500</v>
      </c>
      <c r="X37" s="40">
        <v>600</v>
      </c>
      <c r="Y37" s="40">
        <v>36744</v>
      </c>
      <c r="Z37" s="40">
        <v>0</v>
      </c>
      <c r="AA37" s="40">
        <v>0</v>
      </c>
      <c r="AB37" s="40"/>
      <c r="AC37" s="38">
        <f t="shared" si="1"/>
        <v>105634</v>
      </c>
      <c r="AD37" s="38">
        <f t="shared" si="2"/>
        <v>1003604</v>
      </c>
      <c r="AE37" s="39">
        <f t="shared" si="3"/>
        <v>606.0410628019324</v>
      </c>
    </row>
    <row r="38" spans="1:31" ht="11.25">
      <c r="A38" s="30" t="s">
        <v>127</v>
      </c>
      <c r="B38" s="40">
        <v>206</v>
      </c>
      <c r="C38" s="40">
        <v>500</v>
      </c>
      <c r="D38" s="40">
        <v>1855</v>
      </c>
      <c r="E38" s="36">
        <f t="shared" si="0"/>
        <v>2355</v>
      </c>
      <c r="F38" s="40">
        <v>986211</v>
      </c>
      <c r="G38" s="40">
        <v>82178</v>
      </c>
      <c r="H38" s="36">
        <f>(F38+G38)*15.4%</f>
        <v>164531.906</v>
      </c>
      <c r="I38" s="36">
        <f>(F38+G38)*2.45%</f>
        <v>26175.5305</v>
      </c>
      <c r="J38" s="40">
        <v>3384</v>
      </c>
      <c r="K38" s="40">
        <v>0</v>
      </c>
      <c r="L38" s="40">
        <v>16561</v>
      </c>
      <c r="M38" s="40">
        <v>8000</v>
      </c>
      <c r="N38" s="40">
        <v>60200</v>
      </c>
      <c r="O38" s="40">
        <v>24000</v>
      </c>
      <c r="P38" s="40">
        <v>1830</v>
      </c>
      <c r="Q38" s="40">
        <f>14769+3204</f>
        <v>17973</v>
      </c>
      <c r="R38" s="40">
        <v>0</v>
      </c>
      <c r="S38" s="40">
        <v>0</v>
      </c>
      <c r="T38" s="40">
        <v>2600</v>
      </c>
      <c r="U38" s="40">
        <v>0</v>
      </c>
      <c r="V38" s="40">
        <v>0</v>
      </c>
      <c r="W38" s="40">
        <v>500</v>
      </c>
      <c r="X38" s="40">
        <v>0</v>
      </c>
      <c r="Y38" s="40">
        <v>55280</v>
      </c>
      <c r="Z38" s="40">
        <v>0</v>
      </c>
      <c r="AA38" s="40">
        <v>0</v>
      </c>
      <c r="AB38" s="40"/>
      <c r="AC38" s="38">
        <f t="shared" si="1"/>
        <v>77203</v>
      </c>
      <c r="AD38" s="38">
        <f t="shared" si="2"/>
        <v>1451779.4365</v>
      </c>
      <c r="AE38" s="39">
        <f t="shared" si="3"/>
        <v>587.2894160598706</v>
      </c>
    </row>
    <row r="39" spans="1:31" ht="11.25">
      <c r="A39" s="30" t="s">
        <v>128</v>
      </c>
      <c r="B39" s="40">
        <v>102</v>
      </c>
      <c r="C39" s="40">
        <v>1023</v>
      </c>
      <c r="D39" s="40">
        <v>903</v>
      </c>
      <c r="E39" s="36">
        <f t="shared" si="0"/>
        <v>1926</v>
      </c>
      <c r="F39" s="40">
        <v>498274</v>
      </c>
      <c r="G39" s="40">
        <v>38337</v>
      </c>
      <c r="H39" s="36">
        <f>(F39+G39)*15.4%</f>
        <v>82638.094</v>
      </c>
      <c r="I39" s="36">
        <f>(F39+G39)*2.45%</f>
        <v>13146.969500000001</v>
      </c>
      <c r="J39" s="40">
        <v>0</v>
      </c>
      <c r="K39" s="40">
        <v>750</v>
      </c>
      <c r="L39" s="40">
        <v>9867</v>
      </c>
      <c r="M39" s="40">
        <v>500</v>
      </c>
      <c r="N39" s="40">
        <v>36652</v>
      </c>
      <c r="O39" s="40">
        <v>600</v>
      </c>
      <c r="P39" s="40">
        <v>2083</v>
      </c>
      <c r="Q39" s="40">
        <f>12065+2540+3352</f>
        <v>17957</v>
      </c>
      <c r="R39" s="40">
        <v>800</v>
      </c>
      <c r="S39" s="40"/>
      <c r="T39" s="40">
        <v>1200</v>
      </c>
      <c r="U39" s="40">
        <v>160</v>
      </c>
      <c r="V39" s="40"/>
      <c r="W39" s="40"/>
      <c r="X39" s="40">
        <v>344</v>
      </c>
      <c r="Y39" s="40">
        <v>31517</v>
      </c>
      <c r="Z39" s="40">
        <v>0</v>
      </c>
      <c r="AA39" s="40">
        <v>0</v>
      </c>
      <c r="AB39" s="40"/>
      <c r="AC39" s="38">
        <f t="shared" si="1"/>
        <v>36187</v>
      </c>
      <c r="AD39" s="38">
        <f t="shared" si="2"/>
        <v>736752.0635</v>
      </c>
      <c r="AE39" s="39">
        <f t="shared" si="3"/>
        <v>601.921620506536</v>
      </c>
    </row>
    <row r="40" spans="1:31" ht="11.25">
      <c r="A40" s="41" t="s">
        <v>129</v>
      </c>
      <c r="B40" s="40">
        <v>112</v>
      </c>
      <c r="C40" s="40">
        <v>1000</v>
      </c>
      <c r="D40" s="36">
        <v>1020</v>
      </c>
      <c r="E40" s="36">
        <f t="shared" si="0"/>
        <v>2020</v>
      </c>
      <c r="F40" s="40">
        <v>523139</v>
      </c>
      <c r="G40" s="40">
        <v>48668</v>
      </c>
      <c r="H40" s="36">
        <v>88201</v>
      </c>
      <c r="I40" s="36">
        <v>14032</v>
      </c>
      <c r="J40" s="40">
        <v>0</v>
      </c>
      <c r="K40" s="40">
        <v>0</v>
      </c>
      <c r="L40" s="40">
        <v>15820</v>
      </c>
      <c r="M40" s="40">
        <v>2000</v>
      </c>
      <c r="N40" s="40">
        <v>32240</v>
      </c>
      <c r="O40" s="40">
        <f>2000+35000</f>
        <v>37000</v>
      </c>
      <c r="P40" s="40">
        <v>2000</v>
      </c>
      <c r="Q40" s="40">
        <v>15000</v>
      </c>
      <c r="R40" s="40">
        <v>500</v>
      </c>
      <c r="S40" s="40">
        <v>500</v>
      </c>
      <c r="T40" s="40">
        <v>2000</v>
      </c>
      <c r="U40" s="40">
        <v>0</v>
      </c>
      <c r="V40" s="40">
        <v>0</v>
      </c>
      <c r="W40" s="40">
        <v>500</v>
      </c>
      <c r="X40" s="40">
        <v>500</v>
      </c>
      <c r="Y40" s="40">
        <v>29510</v>
      </c>
      <c r="Z40" s="40">
        <v>0</v>
      </c>
      <c r="AA40" s="40">
        <v>0</v>
      </c>
      <c r="AB40" s="40">
        <v>5000</v>
      </c>
      <c r="AC40" s="38">
        <f t="shared" si="1"/>
        <v>82840</v>
      </c>
      <c r="AD40" s="38">
        <f t="shared" si="2"/>
        <v>818630</v>
      </c>
      <c r="AE40" s="39">
        <f t="shared" si="3"/>
        <v>609.0997023809524</v>
      </c>
    </row>
    <row r="41" spans="1:31" ht="11.25">
      <c r="A41" s="41" t="s">
        <v>130</v>
      </c>
      <c r="B41" s="40"/>
      <c r="C41" s="40"/>
      <c r="D41" s="36"/>
      <c r="E41" s="36">
        <f t="shared" si="0"/>
        <v>0</v>
      </c>
      <c r="F41" s="40">
        <v>30000</v>
      </c>
      <c r="G41" s="40"/>
      <c r="H41" s="36"/>
      <c r="I41" s="36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38">
        <f t="shared" si="1"/>
        <v>0</v>
      </c>
      <c r="AD41" s="38">
        <f t="shared" si="2"/>
        <v>30000</v>
      </c>
      <c r="AE41" s="39"/>
    </row>
    <row r="42" spans="1:31" ht="11.25">
      <c r="A42" s="30" t="s">
        <v>131</v>
      </c>
      <c r="B42" s="42">
        <f>SUM(B4:B41)</f>
        <v>4901</v>
      </c>
      <c r="C42" s="42">
        <f>SUM(C4:C41)</f>
        <v>39425</v>
      </c>
      <c r="D42" s="42">
        <f>SUM(D4:D41)</f>
        <v>43299</v>
      </c>
      <c r="E42" s="42">
        <f t="shared" si="0"/>
        <v>82724</v>
      </c>
      <c r="F42" s="42">
        <f aca="true" t="shared" si="4" ref="F42:AD42">SUM(F4:F41)</f>
        <v>22250195</v>
      </c>
      <c r="G42" s="42">
        <f t="shared" si="4"/>
        <v>1816608</v>
      </c>
      <c r="H42" s="42">
        <f t="shared" si="4"/>
        <v>3742426.22</v>
      </c>
      <c r="I42" s="42">
        <f t="shared" si="4"/>
        <v>596243.0349999999</v>
      </c>
      <c r="J42" s="42">
        <f t="shared" si="4"/>
        <v>7384</v>
      </c>
      <c r="K42" s="42">
        <f t="shared" si="4"/>
        <v>50550</v>
      </c>
      <c r="L42" s="42">
        <f t="shared" si="4"/>
        <v>625322</v>
      </c>
      <c r="M42" s="42">
        <f t="shared" si="4"/>
        <v>133063</v>
      </c>
      <c r="N42" s="42">
        <f t="shared" si="4"/>
        <v>1436311</v>
      </c>
      <c r="O42" s="42">
        <f t="shared" si="4"/>
        <v>1188297</v>
      </c>
      <c r="P42" s="42">
        <f t="shared" si="4"/>
        <v>52175</v>
      </c>
      <c r="Q42" s="42">
        <f t="shared" si="4"/>
        <v>576040</v>
      </c>
      <c r="R42" s="42">
        <f t="shared" si="4"/>
        <v>29181</v>
      </c>
      <c r="S42" s="42">
        <f t="shared" si="4"/>
        <v>10098</v>
      </c>
      <c r="T42" s="42">
        <f t="shared" si="4"/>
        <v>67397</v>
      </c>
      <c r="U42" s="42">
        <f t="shared" si="4"/>
        <v>3127</v>
      </c>
      <c r="V42" s="42">
        <f t="shared" si="4"/>
        <v>0</v>
      </c>
      <c r="W42" s="42">
        <f t="shared" si="4"/>
        <v>9320</v>
      </c>
      <c r="X42" s="42">
        <f t="shared" si="4"/>
        <v>41572</v>
      </c>
      <c r="Y42" s="42">
        <f t="shared" si="4"/>
        <v>1317284</v>
      </c>
      <c r="Z42" s="42">
        <f t="shared" si="4"/>
        <v>480</v>
      </c>
      <c r="AA42" s="42">
        <f t="shared" si="4"/>
        <v>10740</v>
      </c>
      <c r="AB42" s="42">
        <f t="shared" si="4"/>
        <v>5000</v>
      </c>
      <c r="AC42" s="42">
        <f t="shared" si="4"/>
        <v>2892470</v>
      </c>
      <c r="AD42" s="42">
        <f t="shared" si="4"/>
        <v>34051537.254999995</v>
      </c>
      <c r="AE42" s="39">
        <f>AD42/12/B42</f>
        <v>578.9896152995987</v>
      </c>
    </row>
    <row r="44" ht="11.25">
      <c r="C44" s="29" t="s">
        <v>132</v>
      </c>
    </row>
  </sheetData>
  <printOptions/>
  <pageMargins left="0.51" right="0.1968503937007874" top="0.55" bottom="0.1968503937007874" header="0.5118110236220472" footer="0.4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W43"/>
  <sheetViews>
    <sheetView tabSelected="1" workbookViewId="0" topLeftCell="A4">
      <selection activeCell="W43" sqref="W43"/>
    </sheetView>
  </sheetViews>
  <sheetFormatPr defaultColWidth="9.00390625" defaultRowHeight="12.75"/>
  <cols>
    <col min="1" max="1" width="7.125" style="29" customWidth="1"/>
    <col min="2" max="2" width="6.375" style="29" customWidth="1"/>
    <col min="3" max="3" width="9.00390625" style="29" customWidth="1"/>
    <col min="4" max="4" width="6.75390625" style="29" customWidth="1"/>
    <col min="5" max="5" width="7.75390625" style="29" customWidth="1"/>
    <col min="6" max="6" width="6.375" style="29" customWidth="1"/>
    <col min="7" max="7" width="6.625" style="29" hidden="1" customWidth="1"/>
    <col min="8" max="8" width="6.75390625" style="29" customWidth="1"/>
    <col min="9" max="9" width="6.875" style="29" customWidth="1"/>
    <col min="10" max="10" width="7.00390625" style="29" customWidth="1"/>
    <col min="11" max="12" width="6.375" style="29" customWidth="1"/>
    <col min="13" max="13" width="6.25390625" style="29" customWidth="1"/>
    <col min="14" max="14" width="5.25390625" style="29" customWidth="1"/>
    <col min="15" max="15" width="5.375" style="29" customWidth="1"/>
    <col min="16" max="16" width="6.25390625" style="29" customWidth="1"/>
    <col min="17" max="17" width="5.625" style="29" customWidth="1"/>
    <col min="18" max="18" width="6.25390625" style="29" customWidth="1"/>
    <col min="19" max="19" width="5.875" style="29" customWidth="1"/>
    <col min="20" max="20" width="6.875" style="29" customWidth="1"/>
    <col min="21" max="21" width="6.00390625" style="29" customWidth="1"/>
    <col min="22" max="22" width="8.125" style="29" customWidth="1"/>
    <col min="23" max="23" width="8.25390625" style="29" customWidth="1"/>
    <col min="24" max="16384" width="9.125" style="29" customWidth="1"/>
  </cols>
  <sheetData>
    <row r="1" ht="15.75">
      <c r="B1" s="28" t="s">
        <v>243</v>
      </c>
    </row>
    <row r="2" ht="15.75">
      <c r="B2" s="28" t="s">
        <v>242</v>
      </c>
    </row>
    <row r="3" ht="11.25">
      <c r="A3" s="97"/>
    </row>
    <row r="4" spans="1:23" ht="27.75" customHeight="1">
      <c r="A4" s="30"/>
      <c r="B4" s="32" t="s">
        <v>1</v>
      </c>
      <c r="C4" s="32" t="s">
        <v>3</v>
      </c>
      <c r="D4" s="32" t="s">
        <v>5</v>
      </c>
      <c r="E4" s="32" t="s">
        <v>6</v>
      </c>
      <c r="F4" s="32" t="s">
        <v>7</v>
      </c>
      <c r="G4" s="32" t="s">
        <v>8</v>
      </c>
      <c r="H4" s="32" t="s">
        <v>9</v>
      </c>
      <c r="I4" s="32" t="s">
        <v>10</v>
      </c>
      <c r="J4" s="32" t="s">
        <v>13</v>
      </c>
      <c r="K4" s="32" t="s">
        <v>14</v>
      </c>
      <c r="L4" s="32" t="s">
        <v>15</v>
      </c>
      <c r="M4" s="32" t="s">
        <v>16</v>
      </c>
      <c r="N4" s="32" t="s">
        <v>17</v>
      </c>
      <c r="O4" s="32" t="s">
        <v>18</v>
      </c>
      <c r="P4" s="32" t="s">
        <v>146</v>
      </c>
      <c r="Q4" s="32" t="s">
        <v>147</v>
      </c>
      <c r="R4" s="32" t="s">
        <v>21</v>
      </c>
      <c r="S4" s="32" t="s">
        <v>22</v>
      </c>
      <c r="T4" s="32" t="s">
        <v>23</v>
      </c>
      <c r="U4" s="32" t="s">
        <v>24</v>
      </c>
      <c r="V4" s="32" t="s">
        <v>27</v>
      </c>
      <c r="W4" s="33" t="s">
        <v>28</v>
      </c>
    </row>
    <row r="5" spans="1:23" ht="11.25">
      <c r="A5" s="98" t="s">
        <v>30</v>
      </c>
      <c r="B5" s="99"/>
      <c r="C5" s="99"/>
      <c r="D5" s="99"/>
      <c r="E5" s="99"/>
      <c r="F5" s="99"/>
      <c r="G5" s="99"/>
      <c r="H5" s="99"/>
      <c r="I5" s="99"/>
      <c r="J5" s="99"/>
      <c r="K5" s="100"/>
      <c r="L5" s="100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3" ht="11.25">
      <c r="A6" s="30" t="s">
        <v>93</v>
      </c>
      <c r="B6" s="36">
        <v>200</v>
      </c>
      <c r="C6" s="36">
        <v>65278</v>
      </c>
      <c r="D6" s="36">
        <v>5546</v>
      </c>
      <c r="E6" s="36">
        <f aca="true" t="shared" si="0" ref="E6:E42">(C6+D6)*15.4%</f>
        <v>10907</v>
      </c>
      <c r="F6" s="36">
        <f aca="true" t="shared" si="1" ref="F6:F42">(C6+D6)*2.45%</f>
        <v>1735</v>
      </c>
      <c r="G6" s="36">
        <v>0</v>
      </c>
      <c r="H6" s="36">
        <v>0</v>
      </c>
      <c r="I6" s="36">
        <v>3125</v>
      </c>
      <c r="J6" s="36">
        <v>5723</v>
      </c>
      <c r="K6" s="101"/>
      <c r="L6" s="101">
        <v>100</v>
      </c>
      <c r="M6" s="36">
        <v>2569</v>
      </c>
      <c r="N6" s="36"/>
      <c r="O6" s="36"/>
      <c r="P6" s="36"/>
      <c r="Q6" s="36"/>
      <c r="R6" s="36"/>
      <c r="S6" s="36">
        <v>0</v>
      </c>
      <c r="T6" s="36">
        <v>2670</v>
      </c>
      <c r="U6" s="36"/>
      <c r="V6" s="38">
        <f aca="true" t="shared" si="2" ref="V6:V42">S6+M6+L6+K6+I6+H6+B6+G6+P6+Q6+U6+N6+O6+R6</f>
        <v>5994</v>
      </c>
      <c r="W6" s="38">
        <f aca="true" t="shared" si="3" ref="W6:W42">C6+D6+E6+F6+J6+T6+V6</f>
        <v>97853</v>
      </c>
    </row>
    <row r="7" spans="1:23" ht="11.25">
      <c r="A7" s="30" t="s">
        <v>94</v>
      </c>
      <c r="B7" s="36">
        <v>300</v>
      </c>
      <c r="C7" s="36">
        <v>83970</v>
      </c>
      <c r="D7" s="36">
        <v>8070</v>
      </c>
      <c r="E7" s="36">
        <f t="shared" si="0"/>
        <v>14174</v>
      </c>
      <c r="F7" s="36">
        <f t="shared" si="1"/>
        <v>2255</v>
      </c>
      <c r="G7" s="36">
        <v>0</v>
      </c>
      <c r="H7" s="36">
        <v>0</v>
      </c>
      <c r="I7" s="36">
        <v>1000</v>
      </c>
      <c r="J7" s="36">
        <v>6970</v>
      </c>
      <c r="K7" s="101">
        <v>1000</v>
      </c>
      <c r="L7" s="101">
        <v>250</v>
      </c>
      <c r="M7" s="36">
        <v>1922</v>
      </c>
      <c r="N7" s="36"/>
      <c r="O7" s="36"/>
      <c r="P7" s="36"/>
      <c r="Q7" s="36"/>
      <c r="R7" s="36"/>
      <c r="S7" s="36">
        <v>0</v>
      </c>
      <c r="T7" s="36">
        <v>3471</v>
      </c>
      <c r="U7" s="36"/>
      <c r="V7" s="38">
        <f t="shared" si="2"/>
        <v>4472</v>
      </c>
      <c r="W7" s="38">
        <f t="shared" si="3"/>
        <v>123382</v>
      </c>
    </row>
    <row r="8" spans="1:23" ht="11.25">
      <c r="A8" s="30" t="s">
        <v>95</v>
      </c>
      <c r="B8" s="36">
        <f>420+3146</f>
        <v>3566</v>
      </c>
      <c r="C8" s="36">
        <v>85804</v>
      </c>
      <c r="D8" s="36">
        <v>7115</v>
      </c>
      <c r="E8" s="36">
        <f t="shared" si="0"/>
        <v>14310</v>
      </c>
      <c r="F8" s="36">
        <f t="shared" si="1"/>
        <v>2277</v>
      </c>
      <c r="G8" s="36"/>
      <c r="H8" s="36"/>
      <c r="I8" s="36">
        <v>1717</v>
      </c>
      <c r="J8" s="36">
        <v>12547</v>
      </c>
      <c r="K8" s="101">
        <v>800</v>
      </c>
      <c r="L8" s="101">
        <v>142</v>
      </c>
      <c r="M8" s="36">
        <f>1397+557+1200</f>
        <v>3154</v>
      </c>
      <c r="N8" s="36"/>
      <c r="O8" s="36"/>
      <c r="P8" s="36">
        <v>550</v>
      </c>
      <c r="Q8" s="36">
        <v>33</v>
      </c>
      <c r="R8" s="36"/>
      <c r="S8" s="36">
        <v>145</v>
      </c>
      <c r="T8" s="36">
        <v>3738</v>
      </c>
      <c r="U8" s="36"/>
      <c r="V8" s="38">
        <f t="shared" si="2"/>
        <v>10107</v>
      </c>
      <c r="W8" s="38">
        <f t="shared" si="3"/>
        <v>135898</v>
      </c>
    </row>
    <row r="9" spans="1:23" ht="11.25">
      <c r="A9" s="30" t="s">
        <v>96</v>
      </c>
      <c r="B9" s="40">
        <v>1500</v>
      </c>
      <c r="C9" s="40">
        <v>85153</v>
      </c>
      <c r="D9" s="40">
        <v>5967</v>
      </c>
      <c r="E9" s="36">
        <f t="shared" si="0"/>
        <v>14032</v>
      </c>
      <c r="F9" s="36">
        <f t="shared" si="1"/>
        <v>2232</v>
      </c>
      <c r="G9" s="40"/>
      <c r="H9" s="40"/>
      <c r="I9" s="40">
        <v>1500</v>
      </c>
      <c r="J9" s="40">
        <v>1900</v>
      </c>
      <c r="K9" s="40"/>
      <c r="L9" s="40">
        <v>500</v>
      </c>
      <c r="M9" s="40">
        <v>1000</v>
      </c>
      <c r="N9" s="40"/>
      <c r="O9" s="40"/>
      <c r="P9" s="40"/>
      <c r="Q9" s="40"/>
      <c r="R9" s="40"/>
      <c r="S9" s="40"/>
      <c r="T9" s="40">
        <v>3738</v>
      </c>
      <c r="U9" s="40"/>
      <c r="V9" s="38">
        <f t="shared" si="2"/>
        <v>4500</v>
      </c>
      <c r="W9" s="38">
        <f t="shared" si="3"/>
        <v>117522</v>
      </c>
    </row>
    <row r="10" spans="1:23" ht="11.25">
      <c r="A10" s="30" t="s">
        <v>97</v>
      </c>
      <c r="B10" s="40">
        <v>2754</v>
      </c>
      <c r="C10" s="40">
        <v>56308</v>
      </c>
      <c r="D10" s="40">
        <v>5033</v>
      </c>
      <c r="E10" s="36">
        <f t="shared" si="0"/>
        <v>9447</v>
      </c>
      <c r="F10" s="36">
        <f t="shared" si="1"/>
        <v>1503</v>
      </c>
      <c r="G10" s="40"/>
      <c r="H10" s="40"/>
      <c r="I10" s="40">
        <v>3840</v>
      </c>
      <c r="J10" s="40">
        <v>15000</v>
      </c>
      <c r="K10" s="40">
        <v>846</v>
      </c>
      <c r="L10" s="40">
        <v>240</v>
      </c>
      <c r="M10" s="40">
        <f>3000+1600+1080+105+120</f>
        <v>5905</v>
      </c>
      <c r="N10" s="40">
        <v>600</v>
      </c>
      <c r="O10" s="40">
        <v>150</v>
      </c>
      <c r="P10" s="40">
        <v>360</v>
      </c>
      <c r="Q10" s="40">
        <v>0</v>
      </c>
      <c r="R10" s="40">
        <v>210</v>
      </c>
      <c r="S10" s="40"/>
      <c r="T10" s="40">
        <v>2670</v>
      </c>
      <c r="U10" s="40"/>
      <c r="V10" s="38">
        <f t="shared" si="2"/>
        <v>14905</v>
      </c>
      <c r="W10" s="38">
        <f t="shared" si="3"/>
        <v>104866</v>
      </c>
    </row>
    <row r="11" spans="1:23" ht="11.25">
      <c r="A11" s="30" t="s">
        <v>98</v>
      </c>
      <c r="B11" s="40">
        <v>200</v>
      </c>
      <c r="C11" s="40">
        <v>79384</v>
      </c>
      <c r="D11" s="40">
        <v>6318</v>
      </c>
      <c r="E11" s="36">
        <f t="shared" si="0"/>
        <v>13198</v>
      </c>
      <c r="F11" s="36">
        <f t="shared" si="1"/>
        <v>2100</v>
      </c>
      <c r="G11" s="40"/>
      <c r="H11" s="40"/>
      <c r="I11" s="40">
        <v>3500</v>
      </c>
      <c r="J11" s="40">
        <v>10385</v>
      </c>
      <c r="K11" s="40">
        <v>0</v>
      </c>
      <c r="L11" s="40">
        <v>300</v>
      </c>
      <c r="M11" s="40">
        <v>1000</v>
      </c>
      <c r="N11" s="40"/>
      <c r="O11" s="40"/>
      <c r="P11" s="40">
        <v>0</v>
      </c>
      <c r="Q11" s="40">
        <v>0</v>
      </c>
      <c r="R11" s="40"/>
      <c r="S11" s="40">
        <v>0</v>
      </c>
      <c r="T11" s="40">
        <v>3471</v>
      </c>
      <c r="U11" s="40"/>
      <c r="V11" s="38">
        <f t="shared" si="2"/>
        <v>5000</v>
      </c>
      <c r="W11" s="38">
        <f t="shared" si="3"/>
        <v>119856</v>
      </c>
    </row>
    <row r="12" spans="1:23" ht="11.25">
      <c r="A12" s="30" t="s">
        <v>99</v>
      </c>
      <c r="B12" s="40">
        <v>1800</v>
      </c>
      <c r="C12" s="40">
        <v>78913</v>
      </c>
      <c r="D12" s="40">
        <v>6638</v>
      </c>
      <c r="E12" s="36">
        <f t="shared" si="0"/>
        <v>13175</v>
      </c>
      <c r="F12" s="36">
        <f t="shared" si="1"/>
        <v>2096</v>
      </c>
      <c r="G12" s="40"/>
      <c r="H12" s="40">
        <v>800</v>
      </c>
      <c r="I12" s="40">
        <v>2120</v>
      </c>
      <c r="J12" s="40">
        <v>10153</v>
      </c>
      <c r="K12" s="40"/>
      <c r="L12" s="40">
        <v>500</v>
      </c>
      <c r="M12" s="40">
        <f>3010</f>
        <v>3010</v>
      </c>
      <c r="N12" s="40"/>
      <c r="O12" s="40"/>
      <c r="P12" s="40">
        <v>500</v>
      </c>
      <c r="Q12" s="40">
        <v>100</v>
      </c>
      <c r="R12" s="40"/>
      <c r="S12" s="40">
        <v>0</v>
      </c>
      <c r="T12" s="40">
        <v>3343</v>
      </c>
      <c r="U12" s="40">
        <v>200</v>
      </c>
      <c r="V12" s="38">
        <f t="shared" si="2"/>
        <v>9030</v>
      </c>
      <c r="W12" s="38">
        <f t="shared" si="3"/>
        <v>123348</v>
      </c>
    </row>
    <row r="13" spans="1:23" ht="11.25">
      <c r="A13" s="30" t="s">
        <v>100</v>
      </c>
      <c r="B13" s="40">
        <v>3420</v>
      </c>
      <c r="C13" s="40">
        <v>120981</v>
      </c>
      <c r="D13" s="40">
        <v>9835</v>
      </c>
      <c r="E13" s="36">
        <f t="shared" si="0"/>
        <v>20146</v>
      </c>
      <c r="F13" s="36">
        <f t="shared" si="1"/>
        <v>3205</v>
      </c>
      <c r="G13" s="40"/>
      <c r="H13" s="40"/>
      <c r="I13" s="40">
        <v>6000</v>
      </c>
      <c r="J13" s="40">
        <v>11790</v>
      </c>
      <c r="K13" s="40">
        <v>3000</v>
      </c>
      <c r="L13" s="40">
        <v>700</v>
      </c>
      <c r="M13" s="40">
        <v>4580</v>
      </c>
      <c r="N13" s="40"/>
      <c r="O13" s="40"/>
      <c r="P13" s="40">
        <v>800</v>
      </c>
      <c r="Q13" s="40">
        <v>300</v>
      </c>
      <c r="R13" s="40"/>
      <c r="S13" s="40">
        <v>0</v>
      </c>
      <c r="T13" s="40">
        <v>4806</v>
      </c>
      <c r="U13" s="40"/>
      <c r="V13" s="38">
        <f t="shared" si="2"/>
        <v>18800</v>
      </c>
      <c r="W13" s="38">
        <f t="shared" si="3"/>
        <v>189563</v>
      </c>
    </row>
    <row r="14" spans="1:23" ht="11.25">
      <c r="A14" s="30" t="s">
        <v>101</v>
      </c>
      <c r="B14" s="40">
        <v>1300</v>
      </c>
      <c r="C14" s="40">
        <v>61407</v>
      </c>
      <c r="D14" s="40">
        <v>5124</v>
      </c>
      <c r="E14" s="36">
        <f t="shared" si="0"/>
        <v>10246</v>
      </c>
      <c r="F14" s="36">
        <f t="shared" si="1"/>
        <v>1630</v>
      </c>
      <c r="G14" s="40"/>
      <c r="H14" s="40"/>
      <c r="I14" s="40">
        <f>4168+2258</f>
        <v>6426</v>
      </c>
      <c r="J14" s="40">
        <v>1897</v>
      </c>
      <c r="K14" s="40">
        <f>1000+558</f>
        <v>1558</v>
      </c>
      <c r="L14" s="40">
        <v>250</v>
      </c>
      <c r="M14" s="40">
        <f>1000+166+346</f>
        <v>1512</v>
      </c>
      <c r="N14" s="40"/>
      <c r="O14" s="40"/>
      <c r="P14" s="40">
        <v>260</v>
      </c>
      <c r="Q14" s="40"/>
      <c r="R14" s="40"/>
      <c r="S14" s="40">
        <v>106</v>
      </c>
      <c r="T14" s="40">
        <v>2670</v>
      </c>
      <c r="U14" s="40">
        <v>200</v>
      </c>
      <c r="V14" s="38">
        <f t="shared" si="2"/>
        <v>11612</v>
      </c>
      <c r="W14" s="38">
        <f t="shared" si="3"/>
        <v>94586</v>
      </c>
    </row>
    <row r="15" spans="1:23" ht="11.25">
      <c r="A15" s="30" t="s">
        <v>102</v>
      </c>
      <c r="B15" s="40">
        <v>150</v>
      </c>
      <c r="C15" s="40">
        <v>84614</v>
      </c>
      <c r="D15" s="40">
        <v>6700</v>
      </c>
      <c r="E15" s="36">
        <f t="shared" si="0"/>
        <v>14062</v>
      </c>
      <c r="F15" s="36">
        <f t="shared" si="1"/>
        <v>2237</v>
      </c>
      <c r="G15" s="40"/>
      <c r="H15" s="40"/>
      <c r="I15" s="40">
        <v>2990</v>
      </c>
      <c r="J15" s="40">
        <v>10360</v>
      </c>
      <c r="K15" s="40">
        <v>1050</v>
      </c>
      <c r="L15" s="40">
        <v>200</v>
      </c>
      <c r="M15" s="40">
        <v>4050</v>
      </c>
      <c r="N15" s="40"/>
      <c r="O15" s="40"/>
      <c r="P15" s="40">
        <v>500</v>
      </c>
      <c r="Q15" s="40">
        <v>0</v>
      </c>
      <c r="R15" s="40"/>
      <c r="S15" s="40">
        <v>50</v>
      </c>
      <c r="T15" s="40">
        <v>3471</v>
      </c>
      <c r="U15" s="40">
        <v>0</v>
      </c>
      <c r="V15" s="38">
        <f t="shared" si="2"/>
        <v>8990</v>
      </c>
      <c r="W15" s="38">
        <f t="shared" si="3"/>
        <v>130434</v>
      </c>
    </row>
    <row r="16" spans="1:23" ht="11.25">
      <c r="A16" s="30" t="s">
        <v>103</v>
      </c>
      <c r="B16" s="40">
        <v>1600</v>
      </c>
      <c r="C16" s="40">
        <v>87724</v>
      </c>
      <c r="D16" s="40">
        <v>7374</v>
      </c>
      <c r="E16" s="36">
        <f t="shared" si="0"/>
        <v>14645</v>
      </c>
      <c r="F16" s="36">
        <f t="shared" si="1"/>
        <v>2330</v>
      </c>
      <c r="G16" s="40"/>
      <c r="H16" s="40">
        <v>800</v>
      </c>
      <c r="I16" s="40">
        <v>3600</v>
      </c>
      <c r="J16" s="40">
        <v>12391</v>
      </c>
      <c r="K16" s="40">
        <v>0</v>
      </c>
      <c r="L16" s="40">
        <v>400</v>
      </c>
      <c r="M16" s="40">
        <v>2380</v>
      </c>
      <c r="N16" s="40"/>
      <c r="O16" s="40"/>
      <c r="P16" s="40">
        <v>1000</v>
      </c>
      <c r="Q16" s="40">
        <v>200</v>
      </c>
      <c r="R16" s="40"/>
      <c r="S16" s="40">
        <v>300</v>
      </c>
      <c r="T16" s="40">
        <v>3738</v>
      </c>
      <c r="U16" s="40">
        <v>500</v>
      </c>
      <c r="V16" s="38">
        <f t="shared" si="2"/>
        <v>10780</v>
      </c>
      <c r="W16" s="38">
        <f t="shared" si="3"/>
        <v>138982</v>
      </c>
    </row>
    <row r="17" spans="1:23" ht="11.25">
      <c r="A17" s="30" t="s">
        <v>104</v>
      </c>
      <c r="B17" s="40">
        <v>2500</v>
      </c>
      <c r="C17" s="40">
        <v>86845</v>
      </c>
      <c r="D17" s="40">
        <v>7999</v>
      </c>
      <c r="E17" s="36">
        <f t="shared" si="0"/>
        <v>14606</v>
      </c>
      <c r="F17" s="36">
        <f t="shared" si="1"/>
        <v>2324</v>
      </c>
      <c r="G17" s="40"/>
      <c r="H17" s="40">
        <v>3600</v>
      </c>
      <c r="I17" s="40">
        <v>3000</v>
      </c>
      <c r="J17" s="40">
        <v>7994</v>
      </c>
      <c r="K17" s="40">
        <f>970+1440</f>
        <v>2410</v>
      </c>
      <c r="L17" s="40">
        <v>300</v>
      </c>
      <c r="M17" s="40">
        <f>1800+130+615</f>
        <v>2545</v>
      </c>
      <c r="N17" s="40"/>
      <c r="O17" s="40"/>
      <c r="P17" s="40">
        <v>300</v>
      </c>
      <c r="Q17" s="40">
        <v>0</v>
      </c>
      <c r="R17" s="40"/>
      <c r="S17" s="40">
        <v>120</v>
      </c>
      <c r="T17" s="40">
        <v>3738</v>
      </c>
      <c r="U17" s="40">
        <v>300</v>
      </c>
      <c r="V17" s="38">
        <f t="shared" si="2"/>
        <v>15075</v>
      </c>
      <c r="W17" s="38">
        <f t="shared" si="3"/>
        <v>138581</v>
      </c>
    </row>
    <row r="18" spans="1:23" ht="11.25">
      <c r="A18" s="30" t="s">
        <v>105</v>
      </c>
      <c r="B18" s="40">
        <v>300</v>
      </c>
      <c r="C18" s="40">
        <v>74640</v>
      </c>
      <c r="D18" s="40">
        <v>6214</v>
      </c>
      <c r="E18" s="36">
        <f t="shared" si="0"/>
        <v>12452</v>
      </c>
      <c r="F18" s="36">
        <f t="shared" si="1"/>
        <v>1981</v>
      </c>
      <c r="G18" s="40">
        <v>0</v>
      </c>
      <c r="H18" s="40">
        <v>0</v>
      </c>
      <c r="I18" s="40">
        <v>1000</v>
      </c>
      <c r="J18" s="40">
        <v>10250</v>
      </c>
      <c r="K18" s="40">
        <v>1000</v>
      </c>
      <c r="L18" s="40">
        <v>250</v>
      </c>
      <c r="M18" s="40">
        <f>1000+513</f>
        <v>1513</v>
      </c>
      <c r="N18" s="40"/>
      <c r="O18" s="40"/>
      <c r="P18" s="40">
        <v>0</v>
      </c>
      <c r="Q18" s="40">
        <v>0</v>
      </c>
      <c r="R18" s="40"/>
      <c r="S18" s="40">
        <v>0</v>
      </c>
      <c r="T18" s="40">
        <v>3204</v>
      </c>
      <c r="U18" s="40">
        <v>0</v>
      </c>
      <c r="V18" s="38">
        <f t="shared" si="2"/>
        <v>4063</v>
      </c>
      <c r="W18" s="38">
        <f t="shared" si="3"/>
        <v>112804</v>
      </c>
    </row>
    <row r="19" spans="1:23" ht="11.25">
      <c r="A19" s="30" t="s">
        <v>106</v>
      </c>
      <c r="B19" s="40">
        <v>150</v>
      </c>
      <c r="C19" s="40">
        <v>82174</v>
      </c>
      <c r="D19" s="40">
        <v>6730</v>
      </c>
      <c r="E19" s="36">
        <f t="shared" si="0"/>
        <v>13691</v>
      </c>
      <c r="F19" s="36">
        <f t="shared" si="1"/>
        <v>2178</v>
      </c>
      <c r="G19" s="40">
        <v>0</v>
      </c>
      <c r="H19" s="40">
        <v>0</v>
      </c>
      <c r="I19" s="40">
        <v>3100</v>
      </c>
      <c r="J19" s="40">
        <v>7688</v>
      </c>
      <c r="K19" s="40">
        <v>860</v>
      </c>
      <c r="L19" s="40">
        <v>200</v>
      </c>
      <c r="M19" s="40">
        <v>5238</v>
      </c>
      <c r="N19" s="40"/>
      <c r="O19" s="40"/>
      <c r="P19" s="40">
        <v>600</v>
      </c>
      <c r="Q19" s="40"/>
      <c r="R19" s="40">
        <v>30</v>
      </c>
      <c r="S19" s="40"/>
      <c r="T19" s="40">
        <v>3471</v>
      </c>
      <c r="U19" s="40">
        <v>0</v>
      </c>
      <c r="V19" s="38">
        <f t="shared" si="2"/>
        <v>10178</v>
      </c>
      <c r="W19" s="38">
        <f t="shared" si="3"/>
        <v>126110</v>
      </c>
    </row>
    <row r="20" spans="1:23" ht="11.25">
      <c r="A20" s="30" t="s">
        <v>107</v>
      </c>
      <c r="B20" s="40">
        <v>400</v>
      </c>
      <c r="C20" s="40">
        <v>69002</v>
      </c>
      <c r="D20" s="40">
        <v>5832</v>
      </c>
      <c r="E20" s="36">
        <f t="shared" si="0"/>
        <v>11524</v>
      </c>
      <c r="F20" s="36">
        <f t="shared" si="1"/>
        <v>1833</v>
      </c>
      <c r="G20" s="40">
        <v>0</v>
      </c>
      <c r="H20" s="40">
        <v>0</v>
      </c>
      <c r="I20" s="40">
        <v>3332</v>
      </c>
      <c r="J20" s="40">
        <v>7380</v>
      </c>
      <c r="K20" s="40">
        <v>800</v>
      </c>
      <c r="L20" s="40">
        <v>200</v>
      </c>
      <c r="M20" s="40">
        <f>2180+513</f>
        <v>2693</v>
      </c>
      <c r="N20" s="40"/>
      <c r="O20" s="40"/>
      <c r="P20" s="40">
        <v>720</v>
      </c>
      <c r="Q20" s="40">
        <v>0</v>
      </c>
      <c r="R20" s="40">
        <v>0</v>
      </c>
      <c r="S20" s="40">
        <v>160</v>
      </c>
      <c r="T20" s="40">
        <v>2937</v>
      </c>
      <c r="U20" s="40">
        <v>200</v>
      </c>
      <c r="V20" s="38">
        <f t="shared" si="2"/>
        <v>8505</v>
      </c>
      <c r="W20" s="38">
        <f t="shared" si="3"/>
        <v>107013</v>
      </c>
    </row>
    <row r="21" spans="1:23" ht="11.25">
      <c r="A21" s="30" t="s">
        <v>108</v>
      </c>
      <c r="B21" s="40">
        <v>900</v>
      </c>
      <c r="C21" s="40">
        <v>61816</v>
      </c>
      <c r="D21" s="40">
        <v>5480</v>
      </c>
      <c r="E21" s="36">
        <f t="shared" si="0"/>
        <v>10364</v>
      </c>
      <c r="F21" s="36">
        <f t="shared" si="1"/>
        <v>1649</v>
      </c>
      <c r="G21" s="40">
        <v>0</v>
      </c>
      <c r="H21" s="40">
        <v>0</v>
      </c>
      <c r="I21" s="40">
        <v>3550</v>
      </c>
      <c r="J21" s="40">
        <v>12116</v>
      </c>
      <c r="K21" s="40">
        <v>750</v>
      </c>
      <c r="L21" s="40">
        <v>700</v>
      </c>
      <c r="M21" s="40">
        <f>2035+1025</f>
        <v>3060</v>
      </c>
      <c r="N21" s="40"/>
      <c r="O21" s="40"/>
      <c r="P21" s="40">
        <v>200</v>
      </c>
      <c r="Q21" s="40"/>
      <c r="R21" s="40">
        <v>100</v>
      </c>
      <c r="S21" s="40">
        <v>400</v>
      </c>
      <c r="T21" s="40">
        <v>2670</v>
      </c>
      <c r="U21" s="40">
        <v>0</v>
      </c>
      <c r="V21" s="38">
        <f t="shared" si="2"/>
        <v>9660</v>
      </c>
      <c r="W21" s="38">
        <f t="shared" si="3"/>
        <v>103755</v>
      </c>
    </row>
    <row r="22" spans="1:23" ht="11.25">
      <c r="A22" s="30" t="s">
        <v>109</v>
      </c>
      <c r="B22" s="40">
        <v>4000</v>
      </c>
      <c r="C22" s="40">
        <v>89768</v>
      </c>
      <c r="D22" s="40">
        <v>7500</v>
      </c>
      <c r="E22" s="36">
        <f t="shared" si="0"/>
        <v>14979</v>
      </c>
      <c r="F22" s="36">
        <f t="shared" si="1"/>
        <v>2383</v>
      </c>
      <c r="G22" s="40">
        <v>0</v>
      </c>
      <c r="H22" s="40">
        <v>0</v>
      </c>
      <c r="I22" s="40">
        <v>5000</v>
      </c>
      <c r="J22" s="40">
        <v>5100</v>
      </c>
      <c r="K22" s="40">
        <v>800</v>
      </c>
      <c r="L22" s="40">
        <v>200</v>
      </c>
      <c r="M22" s="40">
        <v>2400</v>
      </c>
      <c r="N22" s="40"/>
      <c r="O22" s="40"/>
      <c r="P22" s="40">
        <v>0</v>
      </c>
      <c r="Q22" s="40">
        <v>0</v>
      </c>
      <c r="R22" s="40">
        <v>0</v>
      </c>
      <c r="S22" s="40">
        <v>0</v>
      </c>
      <c r="T22" s="40">
        <v>3738</v>
      </c>
      <c r="U22" s="40">
        <v>0</v>
      </c>
      <c r="V22" s="38">
        <f t="shared" si="2"/>
        <v>12400</v>
      </c>
      <c r="W22" s="38">
        <f t="shared" si="3"/>
        <v>135868</v>
      </c>
    </row>
    <row r="23" spans="1:23" ht="11.25">
      <c r="A23" s="30" t="s">
        <v>110</v>
      </c>
      <c r="B23" s="40">
        <v>616</v>
      </c>
      <c r="C23" s="40">
        <v>74999</v>
      </c>
      <c r="D23" s="40">
        <v>6307</v>
      </c>
      <c r="E23" s="36">
        <f t="shared" si="0"/>
        <v>12521</v>
      </c>
      <c r="F23" s="36">
        <f t="shared" si="1"/>
        <v>1992</v>
      </c>
      <c r="G23" s="40">
        <v>0</v>
      </c>
      <c r="H23" s="40">
        <v>0</v>
      </c>
      <c r="I23" s="40">
        <v>1200</v>
      </c>
      <c r="J23" s="40">
        <v>16051</v>
      </c>
      <c r="K23" s="40">
        <v>800</v>
      </c>
      <c r="L23" s="40">
        <v>300</v>
      </c>
      <c r="M23" s="40">
        <v>2963</v>
      </c>
      <c r="N23" s="40">
        <v>0</v>
      </c>
      <c r="O23" s="40">
        <v>0</v>
      </c>
      <c r="P23" s="40">
        <v>200</v>
      </c>
      <c r="Q23" s="40">
        <v>0</v>
      </c>
      <c r="R23" s="40">
        <v>200</v>
      </c>
      <c r="S23" s="40">
        <v>0</v>
      </c>
      <c r="T23" s="40">
        <v>3204</v>
      </c>
      <c r="U23" s="40">
        <v>0</v>
      </c>
      <c r="V23" s="38">
        <f t="shared" si="2"/>
        <v>6279</v>
      </c>
      <c r="W23" s="38">
        <f t="shared" si="3"/>
        <v>121353</v>
      </c>
    </row>
    <row r="24" spans="1:23" ht="11.25">
      <c r="A24" s="30" t="s">
        <v>111</v>
      </c>
      <c r="B24" s="40">
        <v>3360</v>
      </c>
      <c r="C24" s="40">
        <v>90932</v>
      </c>
      <c r="D24" s="40">
        <v>6925</v>
      </c>
      <c r="E24" s="36">
        <f t="shared" si="0"/>
        <v>15070</v>
      </c>
      <c r="F24" s="36">
        <f t="shared" si="1"/>
        <v>2397</v>
      </c>
      <c r="G24" s="40">
        <v>0</v>
      </c>
      <c r="H24" s="40">
        <v>0</v>
      </c>
      <c r="I24" s="40">
        <v>8040</v>
      </c>
      <c r="J24" s="40">
        <v>9262</v>
      </c>
      <c r="K24" s="40">
        <v>0</v>
      </c>
      <c r="L24" s="40">
        <v>300</v>
      </c>
      <c r="M24" s="40">
        <v>4638</v>
      </c>
      <c r="N24" s="40">
        <v>55</v>
      </c>
      <c r="O24" s="40">
        <v>100</v>
      </c>
      <c r="P24" s="40">
        <v>100</v>
      </c>
      <c r="Q24" s="40">
        <v>0</v>
      </c>
      <c r="R24" s="40">
        <v>0</v>
      </c>
      <c r="S24" s="40">
        <v>0</v>
      </c>
      <c r="T24" s="40">
        <v>4005</v>
      </c>
      <c r="U24" s="40">
        <v>245</v>
      </c>
      <c r="V24" s="38">
        <f t="shared" si="2"/>
        <v>16838</v>
      </c>
      <c r="W24" s="38">
        <f t="shared" si="3"/>
        <v>145429</v>
      </c>
    </row>
    <row r="25" spans="1:23" ht="11.25">
      <c r="A25" s="30" t="s">
        <v>112</v>
      </c>
      <c r="B25" s="40">
        <v>1000</v>
      </c>
      <c r="C25" s="40">
        <v>86036</v>
      </c>
      <c r="D25" s="40">
        <v>7100</v>
      </c>
      <c r="E25" s="36">
        <f t="shared" si="0"/>
        <v>14343</v>
      </c>
      <c r="F25" s="36">
        <f t="shared" si="1"/>
        <v>2282</v>
      </c>
      <c r="G25" s="40">
        <v>0</v>
      </c>
      <c r="H25" s="40">
        <v>0</v>
      </c>
      <c r="I25" s="40">
        <v>5800</v>
      </c>
      <c r="J25" s="40">
        <v>16140</v>
      </c>
      <c r="K25" s="40">
        <v>1930</v>
      </c>
      <c r="L25" s="40">
        <v>300</v>
      </c>
      <c r="M25" s="40">
        <v>3700</v>
      </c>
      <c r="N25" s="40">
        <v>225</v>
      </c>
      <c r="O25" s="40">
        <v>0</v>
      </c>
      <c r="P25" s="40">
        <v>375</v>
      </c>
      <c r="Q25" s="40">
        <v>0</v>
      </c>
      <c r="R25" s="40">
        <v>200</v>
      </c>
      <c r="S25" s="40">
        <v>0</v>
      </c>
      <c r="T25" s="40">
        <v>3738</v>
      </c>
      <c r="U25" s="40">
        <v>100</v>
      </c>
      <c r="V25" s="38">
        <f t="shared" si="2"/>
        <v>13630</v>
      </c>
      <c r="W25" s="38">
        <f t="shared" si="3"/>
        <v>143269</v>
      </c>
    </row>
    <row r="26" spans="1:23" ht="11.25">
      <c r="A26" s="30" t="s">
        <v>113</v>
      </c>
      <c r="B26" s="40">
        <v>3175</v>
      </c>
      <c r="C26" s="40">
        <v>100149</v>
      </c>
      <c r="D26" s="40">
        <v>8367</v>
      </c>
      <c r="E26" s="36">
        <f t="shared" si="0"/>
        <v>16711</v>
      </c>
      <c r="F26" s="36">
        <f t="shared" si="1"/>
        <v>2659</v>
      </c>
      <c r="G26" s="40">
        <v>0</v>
      </c>
      <c r="H26" s="40">
        <v>0</v>
      </c>
      <c r="I26" s="40">
        <v>2000</v>
      </c>
      <c r="J26" s="40">
        <v>3000</v>
      </c>
      <c r="K26" s="40">
        <v>2736</v>
      </c>
      <c r="L26" s="40">
        <v>0</v>
      </c>
      <c r="M26" s="40">
        <v>1500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4272</v>
      </c>
      <c r="U26" s="40">
        <v>0</v>
      </c>
      <c r="V26" s="38">
        <f t="shared" si="2"/>
        <v>9411</v>
      </c>
      <c r="W26" s="38">
        <f t="shared" si="3"/>
        <v>144569</v>
      </c>
    </row>
    <row r="27" spans="1:23" ht="11.25">
      <c r="A27" s="30" t="s">
        <v>114</v>
      </c>
      <c r="B27" s="40">
        <v>500</v>
      </c>
      <c r="C27" s="40">
        <v>92470</v>
      </c>
      <c r="D27" s="40">
        <v>7900</v>
      </c>
      <c r="E27" s="36">
        <f t="shared" si="0"/>
        <v>15457</v>
      </c>
      <c r="F27" s="36">
        <f t="shared" si="1"/>
        <v>2459</v>
      </c>
      <c r="G27" s="40">
        <v>0</v>
      </c>
      <c r="H27" s="40">
        <v>0</v>
      </c>
      <c r="I27" s="40">
        <v>3000</v>
      </c>
      <c r="J27" s="40">
        <v>24260</v>
      </c>
      <c r="K27" s="40">
        <v>3500</v>
      </c>
      <c r="L27" s="40">
        <v>300</v>
      </c>
      <c r="M27" s="40">
        <v>4050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4005</v>
      </c>
      <c r="U27" s="40">
        <v>0</v>
      </c>
      <c r="V27" s="38">
        <f t="shared" si="2"/>
        <v>11350</v>
      </c>
      <c r="W27" s="38">
        <f t="shared" si="3"/>
        <v>157901</v>
      </c>
    </row>
    <row r="28" spans="1:23" ht="11.25">
      <c r="A28" s="30" t="s">
        <v>115</v>
      </c>
      <c r="B28" s="40">
        <v>450</v>
      </c>
      <c r="C28" s="40">
        <v>64418</v>
      </c>
      <c r="D28" s="40">
        <v>5287</v>
      </c>
      <c r="E28" s="36">
        <f t="shared" si="0"/>
        <v>10735</v>
      </c>
      <c r="F28" s="36">
        <f t="shared" si="1"/>
        <v>1708</v>
      </c>
      <c r="G28" s="40">
        <v>0</v>
      </c>
      <c r="H28" s="40">
        <v>0</v>
      </c>
      <c r="I28" s="40">
        <v>3500</v>
      </c>
      <c r="J28" s="40">
        <v>10250</v>
      </c>
      <c r="K28" s="40">
        <v>0</v>
      </c>
      <c r="L28" s="40">
        <v>200</v>
      </c>
      <c r="M28" s="40">
        <v>1130</v>
      </c>
      <c r="N28" s="40">
        <v>730</v>
      </c>
      <c r="O28" s="40">
        <v>0</v>
      </c>
      <c r="P28" s="40">
        <v>1000</v>
      </c>
      <c r="Q28" s="40">
        <v>0</v>
      </c>
      <c r="R28" s="40">
        <v>0</v>
      </c>
      <c r="S28" s="40">
        <v>0</v>
      </c>
      <c r="T28" s="40">
        <v>2937</v>
      </c>
      <c r="U28" s="40">
        <v>0</v>
      </c>
      <c r="V28" s="38">
        <f t="shared" si="2"/>
        <v>7010</v>
      </c>
      <c r="W28" s="38">
        <f t="shared" si="3"/>
        <v>102345</v>
      </c>
    </row>
    <row r="29" spans="1:23" ht="11.25">
      <c r="A29" s="30" t="s">
        <v>116</v>
      </c>
      <c r="B29" s="40">
        <v>150</v>
      </c>
      <c r="C29" s="40">
        <v>86348</v>
      </c>
      <c r="D29" s="40">
        <v>7200</v>
      </c>
      <c r="E29" s="36">
        <f t="shared" si="0"/>
        <v>14406</v>
      </c>
      <c r="F29" s="36">
        <f t="shared" si="1"/>
        <v>2292</v>
      </c>
      <c r="G29" s="40">
        <v>0</v>
      </c>
      <c r="H29" s="40">
        <v>0</v>
      </c>
      <c r="I29" s="40">
        <v>1000</v>
      </c>
      <c r="J29" s="40">
        <v>7300</v>
      </c>
      <c r="K29" s="40">
        <v>1000</v>
      </c>
      <c r="L29" s="40">
        <v>300</v>
      </c>
      <c r="M29" s="40">
        <v>1000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3738</v>
      </c>
      <c r="U29" s="40">
        <v>0</v>
      </c>
      <c r="V29" s="38">
        <f t="shared" si="2"/>
        <v>3450</v>
      </c>
      <c r="W29" s="38">
        <f t="shared" si="3"/>
        <v>124734</v>
      </c>
    </row>
    <row r="30" spans="1:23" ht="11.25">
      <c r="A30" s="30" t="s">
        <v>117</v>
      </c>
      <c r="B30" s="40">
        <v>1000</v>
      </c>
      <c r="C30" s="40">
        <v>82846</v>
      </c>
      <c r="D30" s="40">
        <v>6630</v>
      </c>
      <c r="E30" s="36">
        <f t="shared" si="0"/>
        <v>13779</v>
      </c>
      <c r="F30" s="36">
        <f t="shared" si="1"/>
        <v>2192</v>
      </c>
      <c r="G30" s="40">
        <v>0</v>
      </c>
      <c r="H30" s="40">
        <v>0</v>
      </c>
      <c r="I30" s="40">
        <v>2660</v>
      </c>
      <c r="J30" s="40">
        <v>11480</v>
      </c>
      <c r="K30" s="40">
        <v>2500</v>
      </c>
      <c r="L30" s="40">
        <v>300</v>
      </c>
      <c r="M30" s="40">
        <v>4500</v>
      </c>
      <c r="N30" s="40">
        <v>0</v>
      </c>
      <c r="O30" s="40">
        <v>0</v>
      </c>
      <c r="P30" s="40">
        <v>300</v>
      </c>
      <c r="Q30" s="40">
        <v>0</v>
      </c>
      <c r="R30" s="40">
        <v>100</v>
      </c>
      <c r="S30" s="40">
        <v>500</v>
      </c>
      <c r="T30" s="40">
        <v>3738</v>
      </c>
      <c r="U30" s="40">
        <v>0</v>
      </c>
      <c r="V30" s="38">
        <f t="shared" si="2"/>
        <v>11860</v>
      </c>
      <c r="W30" s="38">
        <f t="shared" si="3"/>
        <v>132525</v>
      </c>
    </row>
    <row r="31" spans="1:23" ht="11.25">
      <c r="A31" s="30" t="s">
        <v>118</v>
      </c>
      <c r="B31" s="40">
        <v>1634</v>
      </c>
      <c r="C31" s="40">
        <v>80949</v>
      </c>
      <c r="D31" s="40">
        <v>6822</v>
      </c>
      <c r="E31" s="36">
        <f t="shared" si="0"/>
        <v>13517</v>
      </c>
      <c r="F31" s="36">
        <f t="shared" si="1"/>
        <v>2150</v>
      </c>
      <c r="G31" s="40">
        <v>0</v>
      </c>
      <c r="H31" s="40">
        <v>0</v>
      </c>
      <c r="I31" s="40">
        <v>0</v>
      </c>
      <c r="J31" s="40">
        <v>126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3471</v>
      </c>
      <c r="U31" s="40">
        <v>0</v>
      </c>
      <c r="V31" s="38">
        <f t="shared" si="2"/>
        <v>1634</v>
      </c>
      <c r="W31" s="38">
        <f t="shared" si="3"/>
        <v>108669</v>
      </c>
    </row>
    <row r="32" spans="1:23" ht="11.25">
      <c r="A32" s="30" t="s">
        <v>119</v>
      </c>
      <c r="B32" s="40">
        <v>200</v>
      </c>
      <c r="C32" s="40">
        <v>55656</v>
      </c>
      <c r="D32" s="40">
        <v>4425</v>
      </c>
      <c r="E32" s="36">
        <f t="shared" si="0"/>
        <v>9252</v>
      </c>
      <c r="F32" s="36">
        <f t="shared" si="1"/>
        <v>1472</v>
      </c>
      <c r="G32" s="40">
        <v>0</v>
      </c>
      <c r="H32" s="40">
        <v>0</v>
      </c>
      <c r="I32" s="40">
        <v>2600</v>
      </c>
      <c r="J32" s="40">
        <v>24880</v>
      </c>
      <c r="K32" s="40">
        <v>0</v>
      </c>
      <c r="L32" s="40">
        <v>250</v>
      </c>
      <c r="M32" s="40">
        <v>1500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2403</v>
      </c>
      <c r="U32" s="40">
        <v>0</v>
      </c>
      <c r="V32" s="38">
        <f t="shared" si="2"/>
        <v>4550</v>
      </c>
      <c r="W32" s="38">
        <f t="shared" si="3"/>
        <v>102638</v>
      </c>
    </row>
    <row r="33" spans="1:23" ht="11.25">
      <c r="A33" s="30" t="s">
        <v>120</v>
      </c>
      <c r="B33" s="40">
        <v>600</v>
      </c>
      <c r="C33" s="40">
        <v>78308</v>
      </c>
      <c r="D33" s="40">
        <v>6084</v>
      </c>
      <c r="E33" s="36">
        <f t="shared" si="0"/>
        <v>12996</v>
      </c>
      <c r="F33" s="36">
        <f t="shared" si="1"/>
        <v>2068</v>
      </c>
      <c r="G33" s="40">
        <v>0</v>
      </c>
      <c r="H33" s="40">
        <v>5000</v>
      </c>
      <c r="I33" s="40">
        <v>0</v>
      </c>
      <c r="J33" s="40">
        <v>11275</v>
      </c>
      <c r="K33" s="40">
        <v>0</v>
      </c>
      <c r="L33" s="40">
        <v>0</v>
      </c>
      <c r="M33" s="40">
        <v>3500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3738</v>
      </c>
      <c r="U33" s="40">
        <v>0</v>
      </c>
      <c r="V33" s="38">
        <f t="shared" si="2"/>
        <v>9100</v>
      </c>
      <c r="W33" s="38">
        <f t="shared" si="3"/>
        <v>123569</v>
      </c>
    </row>
    <row r="34" spans="1:23" ht="11.25">
      <c r="A34" s="30" t="s">
        <v>121</v>
      </c>
      <c r="B34" s="40">
        <v>300</v>
      </c>
      <c r="C34" s="40">
        <v>76893</v>
      </c>
      <c r="D34" s="40">
        <v>5359</v>
      </c>
      <c r="E34" s="36">
        <f t="shared" si="0"/>
        <v>12667</v>
      </c>
      <c r="F34" s="36">
        <f t="shared" si="1"/>
        <v>2015</v>
      </c>
      <c r="G34" s="40">
        <v>0</v>
      </c>
      <c r="H34" s="40">
        <v>0</v>
      </c>
      <c r="I34" s="40">
        <v>2600</v>
      </c>
      <c r="J34" s="40">
        <v>10263</v>
      </c>
      <c r="K34" s="40">
        <v>1648</v>
      </c>
      <c r="L34" s="40">
        <v>160</v>
      </c>
      <c r="M34" s="40">
        <v>1946</v>
      </c>
      <c r="N34" s="40">
        <v>280</v>
      </c>
      <c r="O34" s="40">
        <v>0</v>
      </c>
      <c r="P34" s="40">
        <v>260</v>
      </c>
      <c r="Q34" s="40">
        <v>0</v>
      </c>
      <c r="R34" s="40">
        <v>0</v>
      </c>
      <c r="S34" s="40">
        <v>440</v>
      </c>
      <c r="T34" s="40">
        <v>3738</v>
      </c>
      <c r="U34" s="40">
        <v>0</v>
      </c>
      <c r="V34" s="38">
        <f t="shared" si="2"/>
        <v>7634</v>
      </c>
      <c r="W34" s="38">
        <f t="shared" si="3"/>
        <v>118569</v>
      </c>
    </row>
    <row r="35" spans="1:23" ht="11.25">
      <c r="A35" s="30" t="s">
        <v>122</v>
      </c>
      <c r="B35" s="40">
        <v>1100</v>
      </c>
      <c r="C35" s="40">
        <v>118861</v>
      </c>
      <c r="D35" s="40">
        <v>9000</v>
      </c>
      <c r="E35" s="36">
        <f t="shared" si="0"/>
        <v>19691</v>
      </c>
      <c r="F35" s="36">
        <f t="shared" si="1"/>
        <v>3133</v>
      </c>
      <c r="G35" s="40">
        <v>0</v>
      </c>
      <c r="H35" s="40">
        <v>1150</v>
      </c>
      <c r="I35" s="40">
        <v>9400</v>
      </c>
      <c r="J35" s="40">
        <v>48935</v>
      </c>
      <c r="K35" s="40">
        <v>4000</v>
      </c>
      <c r="L35" s="40">
        <v>1600</v>
      </c>
      <c r="M35" s="40">
        <f>3900+2145+1435</f>
        <v>7480</v>
      </c>
      <c r="N35" s="40">
        <v>280</v>
      </c>
      <c r="O35" s="40">
        <v>0</v>
      </c>
      <c r="P35" s="40">
        <v>1160</v>
      </c>
      <c r="Q35" s="40">
        <v>0</v>
      </c>
      <c r="R35" s="40">
        <v>320</v>
      </c>
      <c r="S35" s="40">
        <v>430</v>
      </c>
      <c r="T35" s="40">
        <v>5073</v>
      </c>
      <c r="U35" s="40">
        <v>0</v>
      </c>
      <c r="V35" s="38">
        <f t="shared" si="2"/>
        <v>26920</v>
      </c>
      <c r="W35" s="38">
        <f t="shared" si="3"/>
        <v>231613</v>
      </c>
    </row>
    <row r="36" spans="1:23" ht="11.25">
      <c r="A36" s="30" t="s">
        <v>123</v>
      </c>
      <c r="B36" s="40">
        <v>700</v>
      </c>
      <c r="C36" s="40">
        <v>130926</v>
      </c>
      <c r="D36" s="40">
        <v>9180</v>
      </c>
      <c r="E36" s="36">
        <f t="shared" si="0"/>
        <v>21576</v>
      </c>
      <c r="F36" s="36">
        <f t="shared" si="1"/>
        <v>3433</v>
      </c>
      <c r="G36" s="40">
        <v>0</v>
      </c>
      <c r="H36" s="40">
        <v>0</v>
      </c>
      <c r="I36" s="40">
        <v>4000</v>
      </c>
      <c r="J36" s="40">
        <v>22038</v>
      </c>
      <c r="K36" s="40">
        <v>0</v>
      </c>
      <c r="L36" s="40">
        <v>350</v>
      </c>
      <c r="M36" s="40">
        <v>2050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5607</v>
      </c>
      <c r="U36" s="40">
        <v>0</v>
      </c>
      <c r="V36" s="38">
        <f t="shared" si="2"/>
        <v>7100</v>
      </c>
      <c r="W36" s="38">
        <f t="shared" si="3"/>
        <v>199860</v>
      </c>
    </row>
    <row r="37" spans="1:23" ht="11.25">
      <c r="A37" s="30" t="s">
        <v>124</v>
      </c>
      <c r="B37" s="40">
        <v>50</v>
      </c>
      <c r="C37" s="40">
        <v>61921</v>
      </c>
      <c r="D37" s="40">
        <v>4842</v>
      </c>
      <c r="E37" s="36">
        <f t="shared" si="0"/>
        <v>10282</v>
      </c>
      <c r="F37" s="36">
        <f t="shared" si="1"/>
        <v>1636</v>
      </c>
      <c r="G37" s="40">
        <v>0</v>
      </c>
      <c r="H37" s="40">
        <v>0</v>
      </c>
      <c r="I37" s="40">
        <v>1800</v>
      </c>
      <c r="J37" s="40">
        <v>14150</v>
      </c>
      <c r="K37" s="40">
        <v>200</v>
      </c>
      <c r="L37" s="40">
        <v>102</v>
      </c>
      <c r="M37" s="40">
        <v>4209</v>
      </c>
      <c r="N37" s="40">
        <v>0</v>
      </c>
      <c r="O37" s="40">
        <v>0</v>
      </c>
      <c r="P37" s="40">
        <v>296</v>
      </c>
      <c r="Q37" s="40">
        <v>0</v>
      </c>
      <c r="R37" s="40">
        <v>0</v>
      </c>
      <c r="S37" s="40">
        <v>173</v>
      </c>
      <c r="T37" s="40">
        <v>2670</v>
      </c>
      <c r="U37" s="40">
        <v>0</v>
      </c>
      <c r="V37" s="38">
        <f t="shared" si="2"/>
        <v>6830</v>
      </c>
      <c r="W37" s="38">
        <f t="shared" si="3"/>
        <v>102331</v>
      </c>
    </row>
    <row r="38" spans="1:23" ht="11.25">
      <c r="A38" s="30" t="s">
        <v>125</v>
      </c>
      <c r="B38" s="40">
        <f>3421+550</f>
        <v>3971</v>
      </c>
      <c r="C38" s="40">
        <v>125409</v>
      </c>
      <c r="D38" s="40">
        <v>10535</v>
      </c>
      <c r="E38" s="36">
        <f t="shared" si="0"/>
        <v>20935</v>
      </c>
      <c r="F38" s="36">
        <f t="shared" si="1"/>
        <v>3331</v>
      </c>
      <c r="G38" s="40">
        <v>0</v>
      </c>
      <c r="H38" s="40">
        <v>0</v>
      </c>
      <c r="I38" s="40">
        <v>10700</v>
      </c>
      <c r="J38" s="40">
        <v>25597</v>
      </c>
      <c r="K38" s="40">
        <v>0</v>
      </c>
      <c r="L38" s="40">
        <v>110</v>
      </c>
      <c r="M38" s="40">
        <v>7328</v>
      </c>
      <c r="N38" s="40">
        <v>0</v>
      </c>
      <c r="O38" s="40">
        <v>100</v>
      </c>
      <c r="P38" s="40">
        <v>200</v>
      </c>
      <c r="Q38" s="40">
        <v>0</v>
      </c>
      <c r="R38" s="40">
        <v>0</v>
      </c>
      <c r="S38" s="40">
        <v>0</v>
      </c>
      <c r="T38" s="40">
        <v>5607</v>
      </c>
      <c r="U38" s="40">
        <v>300</v>
      </c>
      <c r="V38" s="38">
        <f t="shared" si="2"/>
        <v>22709</v>
      </c>
      <c r="W38" s="38">
        <f t="shared" si="3"/>
        <v>214123</v>
      </c>
    </row>
    <row r="39" spans="1:23" ht="11.25">
      <c r="A39" s="30" t="s">
        <v>126</v>
      </c>
      <c r="B39" s="40">
        <v>350</v>
      </c>
      <c r="C39" s="40">
        <v>96646</v>
      </c>
      <c r="D39" s="40">
        <v>8606</v>
      </c>
      <c r="E39" s="36">
        <f t="shared" si="0"/>
        <v>16209</v>
      </c>
      <c r="F39" s="36">
        <f t="shared" si="1"/>
        <v>2579</v>
      </c>
      <c r="G39" s="40">
        <v>0</v>
      </c>
      <c r="H39" s="40">
        <v>0</v>
      </c>
      <c r="I39" s="40">
        <v>3480</v>
      </c>
      <c r="J39" s="40">
        <v>16100</v>
      </c>
      <c r="K39" s="40">
        <v>4500</v>
      </c>
      <c r="L39" s="40">
        <v>400</v>
      </c>
      <c r="M39" s="40">
        <v>4150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4005</v>
      </c>
      <c r="U39" s="40">
        <v>0</v>
      </c>
      <c r="V39" s="38">
        <f t="shared" si="2"/>
        <v>12880</v>
      </c>
      <c r="W39" s="38">
        <f t="shared" si="3"/>
        <v>157025</v>
      </c>
    </row>
    <row r="40" spans="1:23" ht="11.25">
      <c r="A40" s="30" t="s">
        <v>127</v>
      </c>
      <c r="B40" s="40">
        <v>500</v>
      </c>
      <c r="C40" s="40">
        <v>139322</v>
      </c>
      <c r="D40" s="40">
        <v>9288</v>
      </c>
      <c r="E40" s="36">
        <f t="shared" si="0"/>
        <v>22886</v>
      </c>
      <c r="F40" s="36">
        <f t="shared" si="1"/>
        <v>3641</v>
      </c>
      <c r="G40" s="40">
        <v>0</v>
      </c>
      <c r="H40" s="40">
        <v>0</v>
      </c>
      <c r="I40" s="40">
        <v>4379</v>
      </c>
      <c r="J40" s="40">
        <v>14174</v>
      </c>
      <c r="K40" s="40">
        <v>0</v>
      </c>
      <c r="L40" s="40">
        <v>540</v>
      </c>
      <c r="M40" s="40">
        <v>1035</v>
      </c>
      <c r="N40" s="40">
        <v>0</v>
      </c>
      <c r="O40" s="40">
        <v>0</v>
      </c>
      <c r="P40" s="40">
        <v>200</v>
      </c>
      <c r="Q40" s="40">
        <v>0</v>
      </c>
      <c r="R40" s="40">
        <v>0</v>
      </c>
      <c r="S40" s="40">
        <v>0</v>
      </c>
      <c r="T40" s="40">
        <v>5874</v>
      </c>
      <c r="U40" s="40">
        <v>0</v>
      </c>
      <c r="V40" s="38">
        <f t="shared" si="2"/>
        <v>6654</v>
      </c>
      <c r="W40" s="38">
        <f t="shared" si="3"/>
        <v>201839</v>
      </c>
    </row>
    <row r="41" spans="1:23" ht="11.25">
      <c r="A41" s="30" t="s">
        <v>128</v>
      </c>
      <c r="B41" s="40">
        <f>603+1573</f>
        <v>2176</v>
      </c>
      <c r="C41" s="40">
        <v>96259</v>
      </c>
      <c r="D41" s="40">
        <v>8398</v>
      </c>
      <c r="E41" s="36">
        <f t="shared" si="0"/>
        <v>16117</v>
      </c>
      <c r="F41" s="36">
        <f t="shared" si="1"/>
        <v>2564</v>
      </c>
      <c r="G41" s="40">
        <v>0</v>
      </c>
      <c r="H41" s="40">
        <v>250</v>
      </c>
      <c r="I41" s="40">
        <v>1708</v>
      </c>
      <c r="J41" s="40">
        <v>8908</v>
      </c>
      <c r="K41" s="40">
        <v>1500</v>
      </c>
      <c r="L41" s="40">
        <v>315</v>
      </c>
      <c r="M41" s="40">
        <f>2326+508+1117</f>
        <v>3951</v>
      </c>
      <c r="N41" s="40">
        <v>0</v>
      </c>
      <c r="O41" s="40">
        <v>0</v>
      </c>
      <c r="P41" s="40">
        <v>300</v>
      </c>
      <c r="Q41" s="40">
        <v>40</v>
      </c>
      <c r="R41" s="40">
        <v>0</v>
      </c>
      <c r="S41" s="40">
        <v>86</v>
      </c>
      <c r="T41" s="40">
        <v>4005</v>
      </c>
      <c r="U41" s="40">
        <v>200</v>
      </c>
      <c r="V41" s="38">
        <f t="shared" si="2"/>
        <v>10526</v>
      </c>
      <c r="W41" s="38">
        <f t="shared" si="3"/>
        <v>146777</v>
      </c>
    </row>
    <row r="42" spans="1:23" ht="11.25">
      <c r="A42" s="41" t="s">
        <v>129</v>
      </c>
      <c r="B42" s="40">
        <v>0</v>
      </c>
      <c r="C42" s="36">
        <v>77586</v>
      </c>
      <c r="D42" s="40">
        <v>6360</v>
      </c>
      <c r="E42" s="36">
        <f t="shared" si="0"/>
        <v>12928</v>
      </c>
      <c r="F42" s="36">
        <f t="shared" si="1"/>
        <v>2057</v>
      </c>
      <c r="G42" s="40">
        <v>0</v>
      </c>
      <c r="H42" s="40">
        <v>0</v>
      </c>
      <c r="I42" s="40">
        <v>1000</v>
      </c>
      <c r="J42" s="40">
        <v>3000</v>
      </c>
      <c r="K42" s="40">
        <v>0</v>
      </c>
      <c r="L42" s="40">
        <v>0</v>
      </c>
      <c r="M42" s="40">
        <v>1500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3204</v>
      </c>
      <c r="U42" s="40">
        <v>0</v>
      </c>
      <c r="V42" s="38">
        <f t="shared" si="2"/>
        <v>2500</v>
      </c>
      <c r="W42" s="38">
        <f t="shared" si="3"/>
        <v>107635</v>
      </c>
    </row>
    <row r="43" spans="1:23" ht="11.25">
      <c r="A43" s="30" t="s">
        <v>241</v>
      </c>
      <c r="B43" s="42">
        <f aca="true" t="shared" si="4" ref="B43:W43">SUM(B6:B42)</f>
        <v>46872</v>
      </c>
      <c r="C43" s="42">
        <f t="shared" si="4"/>
        <v>3170715</v>
      </c>
      <c r="D43" s="42">
        <f t="shared" si="4"/>
        <v>258090</v>
      </c>
      <c r="E43" s="42">
        <f t="shared" si="4"/>
        <v>528036</v>
      </c>
      <c r="F43" s="42">
        <f t="shared" si="4"/>
        <v>84008</v>
      </c>
      <c r="G43" s="42">
        <f t="shared" si="4"/>
        <v>0</v>
      </c>
      <c r="H43" s="42">
        <f t="shared" si="4"/>
        <v>11600</v>
      </c>
      <c r="I43" s="42">
        <f t="shared" si="4"/>
        <v>123667</v>
      </c>
      <c r="J43" s="42">
        <f t="shared" si="4"/>
        <v>446833</v>
      </c>
      <c r="K43" s="42">
        <f t="shared" si="4"/>
        <v>39188</v>
      </c>
      <c r="L43" s="42">
        <f t="shared" si="4"/>
        <v>11259</v>
      </c>
      <c r="M43" s="42">
        <f t="shared" si="4"/>
        <v>110661</v>
      </c>
      <c r="N43" s="42">
        <f t="shared" si="4"/>
        <v>2170</v>
      </c>
      <c r="O43" s="42">
        <f t="shared" si="4"/>
        <v>350</v>
      </c>
      <c r="P43" s="42">
        <f t="shared" si="4"/>
        <v>10181</v>
      </c>
      <c r="Q43" s="42">
        <f t="shared" si="4"/>
        <v>673</v>
      </c>
      <c r="R43" s="42">
        <f t="shared" si="4"/>
        <v>1160</v>
      </c>
      <c r="S43" s="42">
        <f t="shared" si="4"/>
        <v>2910</v>
      </c>
      <c r="T43" s="42">
        <f t="shared" si="4"/>
        <v>136576</v>
      </c>
      <c r="U43" s="42">
        <f t="shared" si="4"/>
        <v>2245</v>
      </c>
      <c r="V43" s="42">
        <f t="shared" si="4"/>
        <v>362936</v>
      </c>
      <c r="W43" s="42">
        <f t="shared" si="4"/>
        <v>4987194</v>
      </c>
    </row>
  </sheetData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kbara</cp:lastModifiedBy>
  <cp:lastPrinted>2010-11-12T13:07:58Z</cp:lastPrinted>
  <dcterms:created xsi:type="dcterms:W3CDTF">2010-11-10T10:45:22Z</dcterms:created>
  <dcterms:modified xsi:type="dcterms:W3CDTF">2010-11-12T14:40:25Z</dcterms:modified>
  <cp:category/>
  <cp:version/>
  <cp:contentType/>
  <cp:contentStatus/>
</cp:coreProperties>
</file>