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465" windowWidth="9435" windowHeight="4590" tabRatio="599" activeTab="1"/>
  </bookViews>
  <sheets>
    <sheet name="Projekt budż bież2011ksiażka" sheetId="1" r:id="rId1"/>
    <sheet name="Projekt budż majątk2011książka" sheetId="2" r:id="rId2"/>
  </sheets>
  <definedNames>
    <definedName name="_xlnm.Print_Titles" localSheetId="0">'Projekt budż bież2011ksiażka'!$2:$3</definedName>
  </definedNames>
  <calcPr fullCalcOnLoad="1"/>
</workbook>
</file>

<file path=xl/sharedStrings.xml><?xml version="1.0" encoding="utf-8"?>
<sst xmlns="http://schemas.openxmlformats.org/spreadsheetml/2006/main" count="200" uniqueCount="172">
  <si>
    <t xml:space="preserve"> "Rozwój Komunikacji Rowerowej Aglomeracji Trójmiejskiej w latach 2007 - 2013""</t>
  </si>
  <si>
    <t xml:space="preserve">wpływy wynikające z włączenia do budżetu miasta planu dochodów zlikwidowanego powiatowego Funduszu Zasobem Geodezyjnym i Kartograficznym </t>
  </si>
  <si>
    <t>Projekt "Kreator innowacyjności - Laboratorium biotechnologiczne w praktyce"</t>
  </si>
  <si>
    <t>"Rozwój elektronicznych usług publicznych w Gdyni"</t>
  </si>
  <si>
    <t>wpływy z opłat rodziców za pobyt dzieci w przedszkolu</t>
  </si>
  <si>
    <t>wpływy z opłat za korzystanie z basenów</t>
  </si>
  <si>
    <t>warsztaty terapii zajęciowej</t>
  </si>
  <si>
    <t>Przewidywane wykonanie 2010 roku</t>
  </si>
  <si>
    <t>Lp.</t>
  </si>
  <si>
    <t>Gmina</t>
  </si>
  <si>
    <t>Powiat</t>
  </si>
  <si>
    <t>Razem</t>
  </si>
  <si>
    <t xml:space="preserve">podatek od nieruchomości </t>
  </si>
  <si>
    <t>Kwota</t>
  </si>
  <si>
    <t xml:space="preserve">Plan 2010 rok (wg. stanu  na 31.10.2010r.)  </t>
  </si>
  <si>
    <t xml:space="preserve">Plan 2010 rok (wg. stanu na 31.10.2010r.)  </t>
  </si>
  <si>
    <t xml:space="preserve">podatek od środków transportowych </t>
  </si>
  <si>
    <t>opłata skarbowa</t>
  </si>
  <si>
    <t>pozostałe</t>
  </si>
  <si>
    <t>podatek rolny</t>
  </si>
  <si>
    <t xml:space="preserve">podatek leśny </t>
  </si>
  <si>
    <t>zaległości z podatków zniesionych</t>
  </si>
  <si>
    <t>odsetki i opłata prolongacyjna</t>
  </si>
  <si>
    <t>Podatki pobierane przez urzędy skarbowe</t>
  </si>
  <si>
    <t>karta podatkowa</t>
  </si>
  <si>
    <t>podatek od spadków i darowizn</t>
  </si>
  <si>
    <t xml:space="preserve">podatek od czynności cywilnoprawnych </t>
  </si>
  <si>
    <t>wpływy ze sprzedaży mienia komunalnego</t>
  </si>
  <si>
    <t>dochody z dzierżawy</t>
  </si>
  <si>
    <t>wpływy z lokali użytkowych</t>
  </si>
  <si>
    <t>użytkowanie wieczyste</t>
  </si>
  <si>
    <t>opłata adiacencka i renta planistyczna</t>
  </si>
  <si>
    <t xml:space="preserve">sprzedaż składników majątkowych </t>
  </si>
  <si>
    <t>dochody z najmu i dzierżawy skł. majątkowych gminy oddanych w użytkowanie jednostkom i zakł. budżetowym</t>
  </si>
  <si>
    <t>wpływy z czynszów za mieszkania służbowe</t>
  </si>
  <si>
    <t xml:space="preserve">Inne dochody własne </t>
  </si>
  <si>
    <t>wpływy Zarządu Komunikacji Miejskiej</t>
  </si>
  <si>
    <t>wpływy z opłat rodziców za pobyt dzieci w żłobku</t>
  </si>
  <si>
    <t>wpływy z usług opiekuńczych i opłaty za pobyt w ośrodkach wsparcia</t>
  </si>
  <si>
    <t>wpływy z usług Gdyńskiego Centrum Innowacji</t>
  </si>
  <si>
    <t xml:space="preserve">wpływy z opłat za pobyt w domu opieki społecznej </t>
  </si>
  <si>
    <t xml:space="preserve">opłaty za wpis do rejestru działalności gospodarczej za egzaminy i dokumenty wydawane w związku z wykonywaniem transportu drogowego oraz inne opłaty pobierane przez UM </t>
  </si>
  <si>
    <t>25% dochodów z nieruchom.Skarbu Państwa</t>
  </si>
  <si>
    <t xml:space="preserve">5% dochodów uzysk. na rzecz budżetu państwa w związku z real. zad. zleconych </t>
  </si>
  <si>
    <t>dochody z tyt. ustawy o przeciwdziałaniu alkoholizmowi</t>
  </si>
  <si>
    <t>opłaty za usuwanie pojazdów z pasa drogowego</t>
  </si>
  <si>
    <t>odsetki od środków na rachunkach bankowych</t>
  </si>
  <si>
    <t>pozostałe dochody</t>
  </si>
  <si>
    <t>grzywny i kary - Straż Miejska</t>
  </si>
  <si>
    <t>różne dochody jednostek organizacyjnych miasta</t>
  </si>
  <si>
    <t xml:space="preserve">zadania oświatowe </t>
  </si>
  <si>
    <t>obsługa mieszkańców Sopotu przez Powiatowy Urząd Pracy w Gdyni</t>
  </si>
  <si>
    <t xml:space="preserve">rodziny zastępcze </t>
  </si>
  <si>
    <t>placówki opiekuńczo - wychowawcze</t>
  </si>
  <si>
    <t>środki z gmin ościennych na organizację usług komunikacyjnych na ich terenie przez ZKM w Gdyni na podstawie porozumień</t>
  </si>
  <si>
    <t>Dotacje i inne środki zewnętrzne na dofinansowanie zadań własnych</t>
  </si>
  <si>
    <t>wkład beneficjentów w realizację zadania: rozwój turystyki w rejonie Zatoki Gdańskiej</t>
  </si>
  <si>
    <t>Środki z UE na dofinansowanie zadań własnych</t>
  </si>
  <si>
    <t>Udziały we wpływach z podatków dochodowych</t>
  </si>
  <si>
    <t xml:space="preserve">udziały w podatku dochodowym od osób fizycznych </t>
  </si>
  <si>
    <t>II.  SUBWENCJA OGÓLNA</t>
  </si>
  <si>
    <t>część oświatowa</t>
  </si>
  <si>
    <t>część równoważąca</t>
  </si>
  <si>
    <t>III.  DOTACJE CELOWE Z BUDŻETU PAŃSTWA</t>
  </si>
  <si>
    <t>NA ZADANIA ZLECONE</t>
  </si>
  <si>
    <r>
      <t xml:space="preserve">opieka społeczna, </t>
    </r>
    <r>
      <rPr>
        <i/>
        <sz val="8"/>
        <rFont val="Arial CE"/>
        <family val="2"/>
      </rPr>
      <t>w tym:</t>
    </r>
  </si>
  <si>
    <t xml:space="preserve"> ośrodki wsparcia</t>
  </si>
  <si>
    <t xml:space="preserve"> składki na ubezp. zdrowotne</t>
  </si>
  <si>
    <t>świadczenia rodzinne</t>
  </si>
  <si>
    <t>zespół ds. orzekania o stopniu niepełnosprawn.</t>
  </si>
  <si>
    <t xml:space="preserve">składki na ubezpieczenia zdrowotne </t>
  </si>
  <si>
    <t>wybory Prezydenta Rzeczypospolitej Polskiej</t>
  </si>
  <si>
    <t xml:space="preserve">prace geodezyjne i kartograficzne </t>
  </si>
  <si>
    <t>opracowania geodezyjne i kartograficzne</t>
  </si>
  <si>
    <t>gospodarka gruntami i nieruchomościami</t>
  </si>
  <si>
    <t>NA ZADANIA REALIZOWANE NA MOCY POROZUMIEŃ Z ORGANAMI ADMINISTRACJI RZĄDOWEJ</t>
  </si>
  <si>
    <t>utrzymanie grobów wojennych</t>
  </si>
  <si>
    <t>NA FINANSOWANIE LUB DOFINANSOWANIE ZADAŃ WŁASNYCH</t>
  </si>
  <si>
    <t>zadania z zakresu opieki społecznej:</t>
  </si>
  <si>
    <t>opieka w domach o zasięgu ponadgminnym</t>
  </si>
  <si>
    <t>zasiłki i pomoc w naturze</t>
  </si>
  <si>
    <t>ośrodki pomocy społecznej</t>
  </si>
  <si>
    <r>
      <t xml:space="preserve">I. </t>
    </r>
    <r>
      <rPr>
        <b/>
        <sz val="10"/>
        <rFont val="Arial CE"/>
        <family val="2"/>
      </rPr>
      <t xml:space="preserve"> DOCHODY WŁASNE, w tym:</t>
    </r>
  </si>
  <si>
    <t>z Funduszu Pracy na finansowanie wynagrodzeń i składek na ubezpieczenie pracowników Powiatowego Urzędu Pracy</t>
  </si>
  <si>
    <t>koszty wydawania decyzji w sprawie świadczeń zdrowotnych</t>
  </si>
  <si>
    <t xml:space="preserve">Projekt dochodów bieżących budżetu miasta Gdyni na 2011 roku wg źródeł                                </t>
  </si>
  <si>
    <t xml:space="preserve">Projekt dochodów majątkowych budżetu miasta Gdyni na 2011 roku wg źródeł                                </t>
  </si>
  <si>
    <t>przekształcenie prawa użytkowania wieczystego w prawo własności</t>
  </si>
  <si>
    <t>DOCHODY MAJĄTKOWE OGÓŁEM</t>
  </si>
  <si>
    <t>DOCHODY BIEŻĄCE OGÓŁEM</t>
  </si>
  <si>
    <t>ŁĄCZNIE DOCHODY BIEŻĄCE I MAJĄTKOWE</t>
  </si>
  <si>
    <t>dotacja dla Ochotniczej Straży Pożarnej Wiczlino</t>
  </si>
  <si>
    <t>administracja państwowa (na zadania bieżące i inwestycyjne)</t>
  </si>
  <si>
    <r>
      <t xml:space="preserve">I. </t>
    </r>
    <r>
      <rPr>
        <b/>
        <sz val="10"/>
        <rFont val="Arial CE"/>
        <family val="0"/>
      </rPr>
      <t xml:space="preserve"> DOCHODY WŁASNE, w tym:</t>
    </r>
  </si>
  <si>
    <t>dynamika (kol. 5:4)</t>
  </si>
  <si>
    <t xml:space="preserve">dynamika </t>
  </si>
  <si>
    <t>I.</t>
  </si>
  <si>
    <t>Przewidywane wykonanie 2010r.</t>
  </si>
  <si>
    <t>uruchomienie punktu konsultacyjno - diagnostycznego dla rodzin i dzieci z FAS</t>
  </si>
  <si>
    <t>koszty związane z postępowaniem w sprawie zwrotu podatku akcyzowego zawartego w cenie oleju napędowego wykorzystywanego do produkcji rolnej</t>
  </si>
  <si>
    <t xml:space="preserve">rekompensata utraconych dochodów (z PFRON - u) z tytułu zwolnień w podatkach </t>
  </si>
  <si>
    <t>Treść</t>
  </si>
  <si>
    <t>lokalne inicjatywy inwestycyjne</t>
  </si>
  <si>
    <t>wpływy z usług Centrum Aktywności Seniora</t>
  </si>
  <si>
    <t>środki z Funduszu Rozwoju Kultury Fizycznej na dofinansowanie programu szkolenia młodzieży uzdolnionej sportowo</t>
  </si>
  <si>
    <t>wpływy ze sprzedaży biletów na "tramwaj wodny"</t>
  </si>
  <si>
    <t>Podatki i opłaty pobierane przez miasto</t>
  </si>
  <si>
    <t>Dochody z majątku miasta</t>
  </si>
  <si>
    <t>Dotacje od jednostek samorządu terytorialnego</t>
  </si>
  <si>
    <t>II.  DOTACJE CELOWE Z BUDŻETU PAŃSTWA</t>
  </si>
  <si>
    <t>opłaty lokalne (opłata targowa i miejscowa)</t>
  </si>
  <si>
    <t>refundacja kosztów projektu "Pomorski Park Naukowo-Technologiczny- Rozbudowa etap 3 i 4"</t>
  </si>
  <si>
    <t xml:space="preserve">50% zwrotów zaliczek alimentacyjnych </t>
  </si>
  <si>
    <t>Komenda Powiatowa Państwowej Straży Pożarnej (na zadania bieżące)</t>
  </si>
  <si>
    <t>Komenda Powiatowa Państwowej Straży Pożarnej (na zadania inwestycyjne)</t>
  </si>
  <si>
    <t>dotacja z Narodowego Centrum Kultury na realizację Ogólnopolskiego programu rozwoju chórów szkolnych Ministra Kultury i Dziedzictwa Narodowego "Śpiewająca Polska"</t>
  </si>
  <si>
    <t>dotacje z Helu i Jastarni na dofinansowanie funkcjonowania "Tramwaju wodnego"</t>
  </si>
  <si>
    <t>realizacja programu korekcyjno - edukacyjnego dla sprawców przemocy w rodzinie</t>
  </si>
  <si>
    <t xml:space="preserve">Plan 2010 rok (stan na 31.10.2010r.) </t>
  </si>
  <si>
    <t xml:space="preserve">środki na realizację projektu "Dobry zawód gwarancją sukcesu" </t>
  </si>
  <si>
    <t>rozliczenie mediów zużywanych przez Krytą Pływalnie przy ZS nr 10</t>
  </si>
  <si>
    <t xml:space="preserve">                                                                                                                </t>
  </si>
  <si>
    <t>składki na ubezpieczenia zdrowotne</t>
  </si>
  <si>
    <t>kwalifikacja wojskowa</t>
  </si>
  <si>
    <t>projekt " Wzmocnienie współpracy między Akademią Medyczną w Gdańsku a PPNT i GPNT"</t>
  </si>
  <si>
    <t>Program Współpracy Transgranicznej Południowy Bałtyk 2007-2013 "eduPEOPLE"</t>
  </si>
  <si>
    <t>udział w targach Let s EXPO</t>
  </si>
  <si>
    <t>Program Współpracy Transgranicznej Południowy Bałtyk 2007-2013 "Diske"</t>
  </si>
  <si>
    <t>projekt "Przyroda - eksperyment o nieograniczonych możliwościach"</t>
  </si>
  <si>
    <t>projekt "INTERFACE""</t>
  </si>
  <si>
    <t>Projekt "Eksperyment na plaży"</t>
  </si>
  <si>
    <t>Projekt " Świadomość ekologiczna młodzieży - nauczanie przez doświadczenie"</t>
  </si>
  <si>
    <t>Powiatowy Inspektorat Nadzoru Budowlanego (na zadania bieżące i inwestycyjne)</t>
  </si>
  <si>
    <t>Projekt "TROLLEY"</t>
  </si>
  <si>
    <t>zasiłki stałe</t>
  </si>
  <si>
    <t xml:space="preserve"> usługi opiekuńcze, specjalistyczne usługi opiekuńcze</t>
  </si>
  <si>
    <t>środki na dofinansowanie programu "Uczenie się przez całe życie" Projekt Partnerski COMENIUS</t>
  </si>
  <si>
    <t>opłaty za parkowanie, za zajęcie pasa drogowego, umieszczanie reklam i stoisk w pasie drogowym i in.</t>
  </si>
  <si>
    <t>aktualizacja spisu wyborców</t>
  </si>
  <si>
    <t>program "Radosna szkoła"</t>
  </si>
  <si>
    <t>opłaty komunikacyjna</t>
  </si>
  <si>
    <t>zwrot refundacji kosztów projektu "Pomorski Park Naukowo-Technologiczny- Rozbudowa etap 3 i 4"</t>
  </si>
  <si>
    <t>środki otrzymane z Gmin, Powiatów i z Samorządu Województwa Pomorskiego na budowę Obwodnicy Północnej Aglomeracji Trójmiejskiej</t>
  </si>
  <si>
    <t xml:space="preserve">projekt "Urzędnik na plus" </t>
  </si>
  <si>
    <t>projekt "Doświadczenia ponad granicami gdyńsko - helsinborskie partnerstwo na rzecz osób niepełnosprawnych"</t>
  </si>
  <si>
    <t xml:space="preserve">"Leonardo da Vinci" </t>
  </si>
  <si>
    <t>Pomoc państwa w zakresie dożywiania</t>
  </si>
  <si>
    <t>projekt "Mój biznes"</t>
  </si>
  <si>
    <t>dotacja od Fundacji Współpracy Polsko - Niemieckiej na realizację projektu "Razem dla europejskiego dialogu - 25 - lecie partnerstwa miast Gdyni i Kilonii"</t>
  </si>
  <si>
    <t>dofinansowanie projektu "Rozwój proekologicznego transportu publicznego na Obszarze Metropolitarnym Trójmiasta"</t>
  </si>
  <si>
    <t>przebudowa układu drogowego węzła Św.Maksymiliana wraz z budową tunelu drogowego pod Drogą Gdyńską, torami SKM i PKP w Gdyni</t>
  </si>
  <si>
    <t>Dom Pomocy Społecznej</t>
  </si>
  <si>
    <t xml:space="preserve">wpływy wynikające z włączenia do budżetu miasta planu dochodów zlikwidowanych gminnych i powiatowych Funduszy Ochrony Środowiska </t>
  </si>
  <si>
    <t>środki na dofinansowanie realizacji projektu "Kompleksowa termomodernizacja dziewięciu budynków placówek oświatowych na terenie Gdyni"</t>
  </si>
  <si>
    <t>projekt "Segment"</t>
  </si>
  <si>
    <t>środki z Funduszu Rozwoju Systemu Edukacji na realizację zadania "Wymiana młodzieży"</t>
  </si>
  <si>
    <t>tworzenie szkolnych placów zabaw</t>
  </si>
  <si>
    <t>wybory do rad gmin, rad powiatów i sejmików województw oraz wyborów wójtów, burmistrzów i prezydentów miast</t>
  </si>
  <si>
    <t xml:space="preserve">spis rolny </t>
  </si>
  <si>
    <t>wpływy Urzędu Miasta</t>
  </si>
  <si>
    <t xml:space="preserve"> </t>
  </si>
  <si>
    <t>dofinansowanie projektu "Efektywny samorząd - kompetentna kadra w Urzędzie Miasta Gdyni i Gminy Kosakowo"</t>
  </si>
  <si>
    <t>środki dla Powiatowego Zespołu ds.Orzekania o Niepełnosprawności zgodnie z zawartym porozumieniem pomiędzy Miastem Gdynia, a Miastem Sopot</t>
  </si>
  <si>
    <t>stypendia oraz inne formy pomocy dla uczniów</t>
  </si>
  <si>
    <t>udziały w podatku dochodowym od osób prawnych</t>
  </si>
  <si>
    <t>projekt "EXPO 2010"</t>
  </si>
  <si>
    <t>środki z budżetu Polsko – Litewskiego Funduszu Wymiany Młodzieży na realizację projektu „Poznajemy się przez sztukę”</t>
  </si>
  <si>
    <t>projekt TQS REVES</t>
  </si>
  <si>
    <t>Projekt "South - NORth Axis"</t>
  </si>
  <si>
    <t>Projekt na 2011r.</t>
  </si>
  <si>
    <t xml:space="preserve">Projekt na 2011r. </t>
  </si>
  <si>
    <t>środki z Sejmiku Województwa Pomorskiego na dofinansowanie lokalnego transportu zbiorowego na liniach komunikacyjnych regularnego transportu wodnego po akwenie Zatoki Gdańskiej i Zatoki Puckiej</t>
  </si>
</sst>
</file>

<file path=xl/styles.xml><?xml version="1.0" encoding="utf-8"?>
<styleSheet xmlns="http://schemas.openxmlformats.org/spreadsheetml/2006/main">
  <numFmts count="4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.0"/>
    <numFmt numFmtId="166" formatCode="0.0"/>
    <numFmt numFmtId="167" formatCode="yy\-mm\-dd"/>
    <numFmt numFmtId="168" formatCode="dd\-mmm\-yy"/>
    <numFmt numFmtId="169" formatCode="dd\-mmm"/>
    <numFmt numFmtId="170" formatCode="mmm\-yy"/>
    <numFmt numFmtId="171" formatCode="yy\-mm\-dd\ hh:mm"/>
    <numFmt numFmtId="172" formatCode="#,##0.0000"/>
    <numFmt numFmtId="173" formatCode="#,##0.0\ _z_ł;[Red]\-#,##0.0\ _z_ł"/>
    <numFmt numFmtId="174" formatCode="#,##0.00000"/>
    <numFmt numFmtId="175" formatCode="#,##0.000"/>
    <numFmt numFmtId="176" formatCode="0.000"/>
    <numFmt numFmtId="177" formatCode="0.0000000"/>
    <numFmt numFmtId="178" formatCode="0.000000"/>
    <numFmt numFmtId="179" formatCode="0.00000"/>
    <numFmt numFmtId="180" formatCode="0.0000"/>
    <numFmt numFmtId="181" formatCode="0.0000%"/>
    <numFmt numFmtId="182" formatCode="0.00000%"/>
    <numFmt numFmtId="183" formatCode="0.000000%"/>
    <numFmt numFmtId="184" formatCode="0.0000000%"/>
    <numFmt numFmtId="185" formatCode="0.000%"/>
    <numFmt numFmtId="186" formatCode="d\-mmm\-yy"/>
    <numFmt numFmtId="187" formatCode="_-* #,##0.0\ _z_ł_-;\-* #,##0.0\ _z_ł_-;_-* &quot;-&quot;??\ _z_ł_-;_-@_-"/>
    <numFmt numFmtId="188" formatCode="_-* #,##0\ _z_ł_-;\-* #,##0\ _z_ł_-;_-* &quot;-&quot;??\ _z_ł_-;_-@_-"/>
    <numFmt numFmtId="189" formatCode="&quot;Tak&quot;;&quot;Tak&quot;;&quot;Nie&quot;"/>
    <numFmt numFmtId="190" formatCode="&quot;Prawda&quot;;&quot;Prawda&quot;;&quot;Fałsz&quot;"/>
    <numFmt numFmtId="191" formatCode="&quot;Włączone&quot;;&quot;Włączone&quot;;&quot;Wyłączone&quot;"/>
    <numFmt numFmtId="192" formatCode="0.0000000000"/>
    <numFmt numFmtId="193" formatCode="_-* #,##0.000\ _z_ł_-;\-* #,##0.000\ _z_ł_-;_-* &quot;-&quot;??\ _z_ł_-;_-@_-"/>
    <numFmt numFmtId="194" formatCode="h:mm"/>
    <numFmt numFmtId="195" formatCode="#,##0.00\ &quot;zł&quot;"/>
    <numFmt numFmtId="196" formatCode="[$€-2]\ #,##0.00_);[Red]\([$€-2]\ #,##0.00\)"/>
  </numFmts>
  <fonts count="22">
    <font>
      <sz val="8"/>
      <name val="Arial CE"/>
      <family val="0"/>
    </font>
    <font>
      <u val="single"/>
      <sz val="10"/>
      <color indexed="12"/>
      <name val="Arial CE"/>
      <family val="0"/>
    </font>
    <font>
      <sz val="10"/>
      <name val="MS Sans Serif"/>
      <family val="0"/>
    </font>
    <font>
      <sz val="10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b/>
      <sz val="9"/>
      <name val="Arial CE"/>
      <family val="2"/>
    </font>
    <font>
      <i/>
      <sz val="8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i/>
      <sz val="8"/>
      <name val="Arial CE"/>
      <family val="2"/>
    </font>
    <font>
      <sz val="8"/>
      <name val="MS Sans Serif"/>
      <family val="2"/>
    </font>
    <font>
      <i/>
      <sz val="8"/>
      <name val="Times New Roman"/>
      <family val="1"/>
    </font>
    <font>
      <b/>
      <sz val="13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b/>
      <sz val="12"/>
      <name val="Arial CE"/>
      <family val="0"/>
    </font>
    <font>
      <sz val="11"/>
      <name val="Arial CE"/>
      <family val="0"/>
    </font>
    <font>
      <b/>
      <sz val="8"/>
      <color indexed="14"/>
      <name val="Arial CE"/>
      <family val="0"/>
    </font>
    <font>
      <i/>
      <sz val="8"/>
      <color indexed="14"/>
      <name val="Arial CE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4" fontId="0" fillId="0" borderId="0" xfId="19" applyNumberFormat="1" applyFont="1" applyFill="1" applyAlignment="1">
      <alignment vertical="center"/>
      <protection/>
    </xf>
    <xf numFmtId="4" fontId="0" fillId="0" borderId="0" xfId="19" applyNumberFormat="1" applyFont="1" applyFill="1">
      <alignment/>
      <protection/>
    </xf>
    <xf numFmtId="3" fontId="5" fillId="0" borderId="1" xfId="19" applyNumberFormat="1" applyFont="1" applyFill="1" applyBorder="1" applyAlignment="1">
      <alignment horizontal="center" vertical="center" wrapText="1"/>
      <protection/>
    </xf>
    <xf numFmtId="4" fontId="7" fillId="0" borderId="0" xfId="19" applyNumberFormat="1" applyFont="1" applyFill="1">
      <alignment/>
      <protection/>
    </xf>
    <xf numFmtId="3" fontId="10" fillId="0" borderId="2" xfId="19" applyNumberFormat="1" applyFont="1" applyFill="1" applyBorder="1" applyAlignment="1">
      <alignment vertical="center"/>
      <protection/>
    </xf>
    <xf numFmtId="4" fontId="5" fillId="0" borderId="0" xfId="19" applyNumberFormat="1" applyFont="1" applyFill="1" applyAlignment="1">
      <alignment vertical="center"/>
      <protection/>
    </xf>
    <xf numFmtId="3" fontId="6" fillId="0" borderId="1" xfId="19" applyNumberFormat="1" applyFont="1" applyFill="1" applyBorder="1" applyAlignment="1">
      <alignment vertical="center"/>
      <protection/>
    </xf>
    <xf numFmtId="4" fontId="8" fillId="0" borderId="0" xfId="19" applyNumberFormat="1" applyFont="1" applyFill="1" applyAlignment="1">
      <alignment vertical="center"/>
      <protection/>
    </xf>
    <xf numFmtId="4" fontId="9" fillId="0" borderId="0" xfId="19" applyNumberFormat="1" applyFont="1" applyFill="1" applyAlignment="1">
      <alignment vertical="center"/>
      <protection/>
    </xf>
    <xf numFmtId="0" fontId="0" fillId="0" borderId="1" xfId="18" applyFont="1" applyFill="1" applyBorder="1" applyAlignment="1">
      <alignment horizontal="left" vertical="center" wrapText="1"/>
      <protection/>
    </xf>
    <xf numFmtId="3" fontId="0" fillId="0" borderId="1" xfId="18" applyNumberFormat="1" applyFont="1" applyFill="1" applyBorder="1" applyAlignment="1">
      <alignment vertical="center"/>
      <protection/>
    </xf>
    <xf numFmtId="3" fontId="5" fillId="0" borderId="1" xfId="19" applyNumberFormat="1" applyFont="1" applyFill="1" applyBorder="1" applyAlignment="1">
      <alignment horizontal="right" vertical="center" wrapText="1"/>
      <protection/>
    </xf>
    <xf numFmtId="3" fontId="0" fillId="0" borderId="1" xfId="19" applyNumberFormat="1" applyFont="1" applyFill="1" applyBorder="1" applyAlignment="1">
      <alignment horizontal="right" vertical="center" wrapText="1"/>
      <protection/>
    </xf>
    <xf numFmtId="0" fontId="0" fillId="0" borderId="0" xfId="18" applyFont="1" applyFill="1">
      <alignment/>
      <protection/>
    </xf>
    <xf numFmtId="0" fontId="0" fillId="0" borderId="1" xfId="18" applyFont="1" applyFill="1" applyBorder="1" applyAlignment="1">
      <alignment vertical="center" wrapText="1"/>
      <protection/>
    </xf>
    <xf numFmtId="0" fontId="7" fillId="0" borderId="1" xfId="18" applyFont="1" applyFill="1" applyBorder="1" applyAlignment="1">
      <alignment vertical="center" wrapText="1"/>
      <protection/>
    </xf>
    <xf numFmtId="3" fontId="12" fillId="0" borderId="1" xfId="19" applyNumberFormat="1" applyFont="1" applyFill="1" applyBorder="1" applyAlignment="1">
      <alignment horizontal="right" vertical="center" wrapText="1"/>
      <protection/>
    </xf>
    <xf numFmtId="3" fontId="7" fillId="0" borderId="1" xfId="19" applyNumberFormat="1" applyFont="1" applyFill="1" applyBorder="1" applyAlignment="1">
      <alignment horizontal="right" vertical="center" wrapText="1"/>
      <protection/>
    </xf>
    <xf numFmtId="0" fontId="7" fillId="0" borderId="0" xfId="18" applyFont="1" applyFill="1">
      <alignment/>
      <protection/>
    </xf>
    <xf numFmtId="0" fontId="7" fillId="0" borderId="0" xfId="18" applyFont="1" applyFill="1" applyAlignment="1">
      <alignment vertical="center"/>
      <protection/>
    </xf>
    <xf numFmtId="1" fontId="6" fillId="0" borderId="1" xfId="19" applyNumberFormat="1" applyFont="1" applyFill="1" applyBorder="1" applyAlignment="1">
      <alignment horizontal="center" vertical="center"/>
      <protection/>
    </xf>
    <xf numFmtId="4" fontId="6" fillId="0" borderId="1" xfId="19" applyNumberFormat="1" applyFont="1" applyFill="1" applyBorder="1" applyAlignment="1">
      <alignment horizontal="left" vertical="center" wrapText="1"/>
      <protection/>
    </xf>
    <xf numFmtId="4" fontId="6" fillId="0" borderId="1" xfId="19" applyNumberFormat="1" applyFont="1" applyFill="1" applyBorder="1" applyAlignment="1">
      <alignment vertical="center" wrapText="1"/>
      <protection/>
    </xf>
    <xf numFmtId="3" fontId="6" fillId="0" borderId="1" xfId="19" applyNumberFormat="1" applyFont="1" applyFill="1" applyBorder="1" applyAlignment="1">
      <alignment horizontal="right" vertical="center" wrapText="1"/>
      <protection/>
    </xf>
    <xf numFmtId="4" fontId="0" fillId="0" borderId="1" xfId="19" applyNumberFormat="1" applyFont="1" applyFill="1" applyBorder="1" applyAlignment="1">
      <alignment vertical="center" wrapText="1"/>
      <protection/>
    </xf>
    <xf numFmtId="0" fontId="13" fillId="0" borderId="1" xfId="18" applyFont="1" applyFill="1" applyBorder="1" applyAlignment="1">
      <alignment horizontal="left" vertical="center" wrapText="1"/>
      <protection/>
    </xf>
    <xf numFmtId="3" fontId="0" fillId="0" borderId="1" xfId="19" applyNumberFormat="1" applyFont="1" applyFill="1" applyBorder="1" applyAlignment="1">
      <alignment vertical="center"/>
      <protection/>
    </xf>
    <xf numFmtId="4" fontId="12" fillId="0" borderId="0" xfId="19" applyNumberFormat="1" applyFont="1" applyFill="1">
      <alignment/>
      <protection/>
    </xf>
    <xf numFmtId="0" fontId="13" fillId="0" borderId="1" xfId="18" applyFont="1" applyFill="1" applyBorder="1" applyAlignment="1">
      <alignment vertical="center" wrapText="1"/>
      <protection/>
    </xf>
    <xf numFmtId="4" fontId="0" fillId="0" borderId="1" xfId="19" applyNumberFormat="1" applyFont="1" applyFill="1" applyBorder="1" applyAlignment="1">
      <alignment horizontal="left" vertical="center" wrapText="1"/>
      <protection/>
    </xf>
    <xf numFmtId="4" fontId="0" fillId="0" borderId="0" xfId="19" applyNumberFormat="1" applyFont="1" applyFill="1" applyBorder="1">
      <alignment/>
      <protection/>
    </xf>
    <xf numFmtId="3" fontId="10" fillId="0" borderId="1" xfId="19" applyNumberFormat="1" applyFont="1" applyFill="1" applyBorder="1" applyAlignment="1">
      <alignment vertical="center"/>
      <protection/>
    </xf>
    <xf numFmtId="3" fontId="10" fillId="0" borderId="1" xfId="19" applyNumberFormat="1" applyFont="1" applyFill="1" applyBorder="1" applyAlignment="1">
      <alignment horizontal="right" vertical="center" wrapText="1"/>
      <protection/>
    </xf>
    <xf numFmtId="4" fontId="7" fillId="0" borderId="0" xfId="19" applyNumberFormat="1" applyFont="1" applyFill="1" applyAlignment="1">
      <alignment vertical="center"/>
      <protection/>
    </xf>
    <xf numFmtId="3" fontId="6" fillId="0" borderId="1" xfId="19" applyNumberFormat="1" applyFont="1" applyFill="1" applyBorder="1" applyAlignment="1">
      <alignment horizontal="left" vertical="center" wrapText="1"/>
      <protection/>
    </xf>
    <xf numFmtId="3" fontId="5" fillId="0" borderId="0" xfId="19" applyNumberFormat="1" applyFont="1" applyFill="1" applyAlignment="1">
      <alignment vertical="center"/>
      <protection/>
    </xf>
    <xf numFmtId="1" fontId="0" fillId="0" borderId="1" xfId="19" applyNumberFormat="1" applyFont="1" applyFill="1" applyBorder="1" applyAlignment="1">
      <alignment vertical="center" wrapText="1"/>
      <protection/>
    </xf>
    <xf numFmtId="1" fontId="0" fillId="0" borderId="1" xfId="19" applyNumberFormat="1" applyFont="1" applyFill="1" applyBorder="1" applyAlignment="1">
      <alignment horizontal="left" vertical="center" wrapText="1"/>
      <protection/>
    </xf>
    <xf numFmtId="1" fontId="7" fillId="0" borderId="1" xfId="19" applyNumberFormat="1" applyFont="1" applyFill="1" applyBorder="1" applyAlignment="1">
      <alignment horizontal="right" vertical="center" wrapText="1"/>
      <protection/>
    </xf>
    <xf numFmtId="3" fontId="6" fillId="0" borderId="1" xfId="18" applyNumberFormat="1" applyFont="1" applyFill="1" applyBorder="1" applyAlignment="1">
      <alignment vertical="center"/>
      <protection/>
    </xf>
    <xf numFmtId="0" fontId="5" fillId="0" borderId="1" xfId="18" applyFont="1" applyFill="1" applyBorder="1" applyAlignment="1">
      <alignment horizontal="center" vertical="center"/>
      <protection/>
    </xf>
    <xf numFmtId="0" fontId="12" fillId="0" borderId="1" xfId="18" applyFont="1" applyFill="1" applyBorder="1" applyAlignment="1">
      <alignment horizontal="center" vertical="center"/>
      <protection/>
    </xf>
    <xf numFmtId="1" fontId="7" fillId="0" borderId="1" xfId="19" applyNumberFormat="1" applyFont="1" applyFill="1" applyBorder="1" applyAlignment="1">
      <alignment horizontal="center" vertical="center"/>
      <protection/>
    </xf>
    <xf numFmtId="0" fontId="7" fillId="0" borderId="1" xfId="18" applyFont="1" applyFill="1" applyBorder="1" applyAlignment="1">
      <alignment horizontal="center" vertical="center"/>
      <protection/>
    </xf>
    <xf numFmtId="0" fontId="0" fillId="0" borderId="1" xfId="18" applyFont="1" applyFill="1" applyBorder="1" applyAlignment="1">
      <alignment horizontal="center" vertical="center"/>
      <protection/>
    </xf>
    <xf numFmtId="1" fontId="0" fillId="0" borderId="1" xfId="19" applyNumberFormat="1" applyFont="1" applyFill="1" applyBorder="1" applyAlignment="1">
      <alignment horizontal="center" vertical="center"/>
      <protection/>
    </xf>
    <xf numFmtId="1" fontId="12" fillId="0" borderId="1" xfId="19" applyNumberFormat="1" applyFont="1" applyFill="1" applyBorder="1" applyAlignment="1">
      <alignment horizontal="center" vertical="center"/>
      <protection/>
    </xf>
    <xf numFmtId="3" fontId="6" fillId="0" borderId="1" xfId="19" applyNumberFormat="1" applyFont="1" applyFill="1" applyBorder="1" applyAlignment="1">
      <alignment horizontal="center" vertical="center"/>
      <protection/>
    </xf>
    <xf numFmtId="4" fontId="0" fillId="0" borderId="1" xfId="19" applyNumberFormat="1" applyFont="1" applyFill="1" applyBorder="1" applyAlignment="1">
      <alignment horizontal="center" vertical="center"/>
      <protection/>
    </xf>
    <xf numFmtId="0" fontId="7" fillId="0" borderId="1" xfId="18" applyFont="1" applyFill="1" applyBorder="1" applyAlignment="1">
      <alignment horizontal="center" vertical="center"/>
      <protection/>
    </xf>
    <xf numFmtId="0" fontId="7" fillId="0" borderId="1" xfId="18" applyFont="1" applyFill="1" applyBorder="1" applyAlignment="1">
      <alignment vertical="center" wrapText="1"/>
      <protection/>
    </xf>
    <xf numFmtId="0" fontId="7" fillId="0" borderId="0" xfId="18" applyFont="1" applyFill="1" applyAlignment="1">
      <alignment vertical="center"/>
      <protection/>
    </xf>
    <xf numFmtId="0" fontId="14" fillId="0" borderId="1" xfId="18" applyFont="1" applyFill="1" applyBorder="1" applyAlignment="1">
      <alignment horizontal="right" vertical="center" wrapText="1"/>
      <protection/>
    </xf>
    <xf numFmtId="1" fontId="14" fillId="0" borderId="1" xfId="19" applyNumberFormat="1" applyFont="1" applyFill="1" applyBorder="1" applyAlignment="1">
      <alignment horizontal="right" vertical="center" wrapText="1"/>
      <protection/>
    </xf>
    <xf numFmtId="3" fontId="12" fillId="0" borderId="0" xfId="19" applyNumberFormat="1" applyFont="1" applyFill="1">
      <alignment/>
      <protection/>
    </xf>
    <xf numFmtId="1" fontId="5" fillId="0" borderId="0" xfId="19" applyNumberFormat="1" applyFont="1" applyFill="1">
      <alignment/>
      <protection/>
    </xf>
    <xf numFmtId="0" fontId="5" fillId="0" borderId="1" xfId="18" applyFont="1" applyFill="1" applyBorder="1" applyAlignment="1">
      <alignment horizontal="center" vertical="center"/>
      <protection/>
    </xf>
    <xf numFmtId="9" fontId="0" fillId="0" borderId="1" xfId="18" applyNumberFormat="1" applyFont="1" applyFill="1" applyBorder="1" applyAlignment="1">
      <alignment vertical="center" wrapText="1"/>
      <protection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4" fontId="5" fillId="0" borderId="0" xfId="19" applyNumberFormat="1" applyFont="1" applyFill="1" applyBorder="1" applyAlignment="1">
      <alignment vertical="center"/>
      <protection/>
    </xf>
    <xf numFmtId="4" fontId="9" fillId="0" borderId="0" xfId="19" applyNumberFormat="1" applyFont="1" applyFill="1" applyBorder="1" applyAlignment="1">
      <alignment vertical="center"/>
      <protection/>
    </xf>
    <xf numFmtId="164" fontId="5" fillId="0" borderId="1" xfId="19" applyNumberFormat="1" applyFont="1" applyFill="1" applyBorder="1" applyAlignment="1">
      <alignment horizontal="center" vertical="center" wrapText="1"/>
      <protection/>
    </xf>
    <xf numFmtId="3" fontId="5" fillId="0" borderId="3" xfId="19" applyNumberFormat="1" applyFont="1" applyFill="1" applyBorder="1" applyAlignment="1">
      <alignment horizontal="center" vertical="center" wrapText="1"/>
      <protection/>
    </xf>
    <xf numFmtId="3" fontId="7" fillId="0" borderId="0" xfId="19" applyNumberFormat="1" applyFont="1" applyFill="1">
      <alignment/>
      <protection/>
    </xf>
    <xf numFmtId="3" fontId="0" fillId="0" borderId="0" xfId="18" applyNumberFormat="1" applyFont="1" applyFill="1">
      <alignment/>
      <protection/>
    </xf>
    <xf numFmtId="3" fontId="10" fillId="0" borderId="2" xfId="19" applyNumberFormat="1" applyFont="1" applyFill="1" applyBorder="1" applyAlignment="1">
      <alignment horizontal="right" vertical="center" wrapText="1"/>
      <protection/>
    </xf>
    <xf numFmtId="3" fontId="17" fillId="0" borderId="0" xfId="19" applyNumberFormat="1" applyFont="1" applyFill="1" applyBorder="1" applyAlignment="1">
      <alignment horizontal="center" vertical="center" wrapText="1"/>
      <protection/>
    </xf>
    <xf numFmtId="3" fontId="17" fillId="0" borderId="0" xfId="19" applyNumberFormat="1" applyFont="1" applyFill="1" applyAlignment="1">
      <alignment horizontal="center" vertical="center" wrapText="1"/>
      <protection/>
    </xf>
    <xf numFmtId="4" fontId="3" fillId="0" borderId="0" xfId="19" applyNumberFormat="1" applyFont="1" applyFill="1" applyBorder="1" applyAlignment="1">
      <alignment vertical="center"/>
      <protection/>
    </xf>
    <xf numFmtId="0" fontId="0" fillId="0" borderId="1" xfId="18" applyFont="1" applyFill="1" applyBorder="1" applyAlignment="1">
      <alignment horizontal="left" vertical="center" wrapText="1"/>
      <protection/>
    </xf>
    <xf numFmtId="0" fontId="0" fillId="0" borderId="1" xfId="18" applyFont="1" applyFill="1" applyBorder="1" applyAlignment="1">
      <alignment vertical="center" wrapText="1"/>
      <protection/>
    </xf>
    <xf numFmtId="4" fontId="0" fillId="0" borderId="1" xfId="19" applyNumberFormat="1" applyFont="1" applyFill="1" applyBorder="1" applyAlignment="1">
      <alignment horizontal="left" vertical="center" wrapText="1"/>
      <protection/>
    </xf>
    <xf numFmtId="4" fontId="0" fillId="0" borderId="1" xfId="19" applyNumberFormat="1" applyFont="1" applyFill="1" applyBorder="1" applyAlignment="1">
      <alignment vertical="center" wrapText="1"/>
      <protection/>
    </xf>
    <xf numFmtId="0" fontId="0" fillId="0" borderId="0" xfId="0" applyFont="1" applyFill="1" applyAlignment="1">
      <alignment/>
    </xf>
    <xf numFmtId="4" fontId="7" fillId="0" borderId="0" xfId="19" applyNumberFormat="1" applyFont="1" applyFill="1">
      <alignment/>
      <protection/>
    </xf>
    <xf numFmtId="0" fontId="18" fillId="0" borderId="0" xfId="0" applyFont="1" applyFill="1" applyAlignment="1">
      <alignment/>
    </xf>
    <xf numFmtId="3" fontId="0" fillId="0" borderId="1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1" fontId="11" fillId="0" borderId="1" xfId="19" applyNumberFormat="1" applyFont="1" applyFill="1" applyBorder="1" applyAlignment="1">
      <alignment horizontal="left" vertical="center" wrapText="1"/>
      <protection/>
    </xf>
    <xf numFmtId="3" fontId="6" fillId="0" borderId="1" xfId="19" applyNumberFormat="1" applyFont="1" applyFill="1" applyBorder="1" applyAlignment="1">
      <alignment horizontal="left" vertical="center" wrapText="1"/>
      <protection/>
    </xf>
    <xf numFmtId="0" fontId="5" fillId="0" borderId="1" xfId="0" applyFont="1" applyFill="1" applyBorder="1" applyAlignment="1">
      <alignment/>
    </xf>
    <xf numFmtId="3" fontId="5" fillId="0" borderId="1" xfId="19" applyNumberFormat="1" applyFont="1" applyFill="1" applyBorder="1" applyAlignment="1">
      <alignment horizontal="right" vertical="center" wrapText="1"/>
      <protection/>
    </xf>
    <xf numFmtId="0" fontId="5" fillId="0" borderId="0" xfId="0" applyFont="1" applyFill="1" applyAlignment="1">
      <alignment/>
    </xf>
    <xf numFmtId="4" fontId="6" fillId="0" borderId="1" xfId="19" applyNumberFormat="1" applyFont="1" applyFill="1" applyBorder="1" applyAlignment="1">
      <alignment vertical="center" wrapText="1"/>
      <protection/>
    </xf>
    <xf numFmtId="164" fontId="5" fillId="0" borderId="1" xfId="19" applyNumberFormat="1" applyFont="1" applyFill="1" applyBorder="1" applyAlignment="1">
      <alignment horizontal="center" vertical="center" wrapText="1"/>
      <protection/>
    </xf>
    <xf numFmtId="1" fontId="6" fillId="0" borderId="1" xfId="19" applyNumberFormat="1" applyFont="1" applyFill="1" applyBorder="1" applyAlignment="1">
      <alignment horizontal="center" vertical="center"/>
      <protection/>
    </xf>
    <xf numFmtId="164" fontId="5" fillId="0" borderId="0" xfId="19" applyNumberFormat="1" applyFont="1" applyFill="1" applyBorder="1" applyAlignment="1">
      <alignment horizontal="center" vertical="center" wrapText="1"/>
      <protection/>
    </xf>
    <xf numFmtId="0" fontId="5" fillId="0" borderId="0" xfId="18" applyFont="1" applyFill="1">
      <alignment/>
      <protection/>
    </xf>
    <xf numFmtId="0" fontId="0" fillId="0" borderId="0" xfId="18" applyFont="1" applyFill="1">
      <alignment/>
      <protection/>
    </xf>
    <xf numFmtId="0" fontId="0" fillId="0" borderId="0" xfId="18" applyFont="1" applyFill="1" applyAlignment="1">
      <alignment vertical="center"/>
      <protection/>
    </xf>
    <xf numFmtId="0" fontId="0" fillId="0" borderId="1" xfId="18" applyFont="1" applyFill="1" applyBorder="1" applyAlignment="1">
      <alignment horizontal="center" vertical="center"/>
      <protection/>
    </xf>
    <xf numFmtId="1" fontId="0" fillId="0" borderId="1" xfId="19" applyNumberFormat="1" applyFont="1" applyFill="1" applyBorder="1" applyAlignment="1">
      <alignment horizontal="center" vertical="center"/>
      <protection/>
    </xf>
    <xf numFmtId="4" fontId="0" fillId="0" borderId="0" xfId="19" applyNumberFormat="1" applyFont="1" applyFill="1">
      <alignment/>
      <protection/>
    </xf>
    <xf numFmtId="0" fontId="0" fillId="0" borderId="1" xfId="0" applyFont="1" applyFill="1" applyBorder="1" applyAlignment="1">
      <alignment/>
    </xf>
    <xf numFmtId="4" fontId="3" fillId="0" borderId="0" xfId="19" applyNumberFormat="1" applyFont="1" applyFill="1" applyBorder="1" applyAlignment="1">
      <alignment vertical="center"/>
      <protection/>
    </xf>
    <xf numFmtId="3" fontId="10" fillId="0" borderId="1" xfId="19" applyNumberFormat="1" applyFont="1" applyFill="1" applyBorder="1" applyAlignment="1">
      <alignment horizontal="right" vertical="center" wrapText="1"/>
      <protection/>
    </xf>
    <xf numFmtId="3" fontId="5" fillId="0" borderId="1" xfId="19" applyNumberFormat="1" applyFont="1" applyFill="1" applyBorder="1" applyAlignment="1">
      <alignment horizontal="center" vertical="center" wrapText="1"/>
      <protection/>
    </xf>
    <xf numFmtId="3" fontId="10" fillId="0" borderId="2" xfId="19" applyNumberFormat="1" applyFont="1" applyFill="1" applyBorder="1" applyAlignment="1">
      <alignment horizontal="right" vertical="center" wrapText="1"/>
      <protection/>
    </xf>
    <xf numFmtId="3" fontId="17" fillId="0" borderId="0" xfId="19" applyNumberFormat="1" applyFont="1" applyFill="1" applyAlignment="1">
      <alignment horizontal="center" vertical="center" wrapText="1"/>
      <protection/>
    </xf>
    <xf numFmtId="3" fontId="17" fillId="0" borderId="0" xfId="19" applyNumberFormat="1" applyFont="1" applyFill="1" applyBorder="1" applyAlignment="1">
      <alignment horizontal="center" vertical="center" wrapText="1"/>
      <protection/>
    </xf>
    <xf numFmtId="3" fontId="6" fillId="0" borderId="1" xfId="19" applyNumberFormat="1" applyFont="1" applyFill="1" applyBorder="1" applyAlignment="1">
      <alignment vertical="center"/>
      <protection/>
    </xf>
    <xf numFmtId="3" fontId="6" fillId="0" borderId="1" xfId="19" applyNumberFormat="1" applyFont="1" applyFill="1" applyBorder="1" applyAlignment="1">
      <alignment horizontal="right" vertical="center" wrapText="1"/>
      <protection/>
    </xf>
    <xf numFmtId="4" fontId="9" fillId="0" borderId="0" xfId="19" applyNumberFormat="1" applyFont="1" applyFill="1" applyAlignment="1">
      <alignment vertical="center"/>
      <protection/>
    </xf>
    <xf numFmtId="3" fontId="0" fillId="0" borderId="1" xfId="19" applyNumberFormat="1" applyFont="1" applyFill="1" applyBorder="1" applyAlignment="1">
      <alignment horizontal="right" vertical="center" wrapText="1"/>
      <protection/>
    </xf>
    <xf numFmtId="3" fontId="0" fillId="0" borderId="1" xfId="18" applyNumberFormat="1" applyFont="1" applyFill="1" applyBorder="1" applyAlignment="1">
      <alignment vertical="center"/>
      <protection/>
    </xf>
    <xf numFmtId="1" fontId="0" fillId="0" borderId="1" xfId="19" applyNumberFormat="1" applyFont="1" applyFill="1" applyBorder="1" applyAlignment="1">
      <alignment horizontal="center" vertical="center"/>
      <protection/>
    </xf>
    <xf numFmtId="0" fontId="0" fillId="0" borderId="1" xfId="18" applyFont="1" applyFill="1" applyBorder="1" applyAlignment="1">
      <alignment horizontal="left" vertical="center" wrapText="1"/>
      <protection/>
    </xf>
    <xf numFmtId="3" fontId="0" fillId="0" borderId="1" xfId="19" applyNumberFormat="1" applyFont="1" applyFill="1" applyBorder="1" applyAlignment="1">
      <alignment horizontal="right" vertical="center" wrapText="1"/>
      <protection/>
    </xf>
    <xf numFmtId="3" fontId="0" fillId="0" borderId="1" xfId="0" applyNumberFormat="1" applyFont="1" applyFill="1" applyBorder="1" applyAlignment="1">
      <alignment/>
    </xf>
    <xf numFmtId="3" fontId="0" fillId="0" borderId="1" xfId="19" applyNumberFormat="1" applyFont="1" applyFill="1" applyBorder="1" applyAlignment="1">
      <alignment vertical="center"/>
      <protection/>
    </xf>
    <xf numFmtId="3" fontId="11" fillId="0" borderId="1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0" fontId="0" fillId="0" borderId="1" xfId="18" applyFont="1" applyFill="1" applyBorder="1" applyAlignment="1">
      <alignment horizontal="left" vertical="center" wrapText="1"/>
      <protection/>
    </xf>
    <xf numFmtId="3" fontId="0" fillId="0" borderId="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" xfId="19" applyNumberFormat="1" applyFont="1" applyFill="1" applyBorder="1" applyAlignment="1">
      <alignment vertical="center" wrapText="1"/>
      <protection/>
    </xf>
    <xf numFmtId="1" fontId="0" fillId="0" borderId="1" xfId="19" applyNumberFormat="1" applyFont="1" applyFill="1" applyBorder="1" applyAlignment="1">
      <alignment horizontal="left" vertical="center" wrapText="1"/>
      <protection/>
    </xf>
    <xf numFmtId="4" fontId="0" fillId="0" borderId="0" xfId="19" applyNumberFormat="1" applyFont="1" applyFill="1" applyAlignment="1">
      <alignment vertical="center"/>
      <protection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Border="1" applyAlignment="1">
      <alignment/>
    </xf>
    <xf numFmtId="1" fontId="20" fillId="0" borderId="1" xfId="19" applyNumberFormat="1" applyFont="1" applyFill="1" applyBorder="1" applyAlignment="1">
      <alignment horizontal="center" vertical="center"/>
      <protection/>
    </xf>
    <xf numFmtId="3" fontId="20" fillId="0" borderId="1" xfId="19" applyNumberFormat="1" applyFont="1" applyFill="1" applyBorder="1" applyAlignment="1">
      <alignment horizontal="center" vertical="center" wrapText="1"/>
      <protection/>
    </xf>
    <xf numFmtId="4" fontId="21" fillId="0" borderId="0" xfId="19" applyNumberFormat="1" applyFont="1" applyFill="1" applyBorder="1">
      <alignment/>
      <protection/>
    </xf>
    <xf numFmtId="4" fontId="21" fillId="0" borderId="0" xfId="19" applyNumberFormat="1" applyFont="1" applyFill="1">
      <alignment/>
      <protection/>
    </xf>
    <xf numFmtId="0" fontId="10" fillId="0" borderId="1" xfId="0" applyFont="1" applyFill="1" applyBorder="1" applyAlignment="1">
      <alignment/>
    </xf>
    <xf numFmtId="3" fontId="10" fillId="0" borderId="1" xfId="0" applyNumberFormat="1" applyFont="1" applyFill="1" applyBorder="1" applyAlignment="1">
      <alignment/>
    </xf>
    <xf numFmtId="164" fontId="10" fillId="0" borderId="1" xfId="19" applyNumberFormat="1" applyFont="1" applyFill="1" applyBorder="1" applyAlignment="1">
      <alignment horizontal="center" vertical="center" wrapText="1"/>
      <protection/>
    </xf>
    <xf numFmtId="0" fontId="10" fillId="0" borderId="0" xfId="0" applyFont="1" applyFill="1" applyAlignment="1">
      <alignment/>
    </xf>
    <xf numFmtId="4" fontId="11" fillId="0" borderId="1" xfId="19" applyNumberFormat="1" applyFont="1" applyFill="1" applyBorder="1" applyAlignment="1">
      <alignment horizontal="left" vertical="center" wrapText="1"/>
      <protection/>
    </xf>
    <xf numFmtId="1" fontId="11" fillId="0" borderId="4" xfId="19" applyNumberFormat="1" applyFont="1" applyFill="1" applyBorder="1" applyAlignment="1">
      <alignment horizontal="left" vertical="center" wrapText="1"/>
      <protection/>
    </xf>
    <xf numFmtId="1" fontId="11" fillId="0" borderId="2" xfId="19" applyNumberFormat="1" applyFont="1" applyFill="1" applyBorder="1" applyAlignment="1">
      <alignment horizontal="left" vertical="center" wrapText="1"/>
      <protection/>
    </xf>
    <xf numFmtId="4" fontId="16" fillId="0" borderId="4" xfId="19" applyNumberFormat="1" applyFont="1" applyFill="1" applyBorder="1" applyAlignment="1">
      <alignment horizontal="center" vertical="center" wrapText="1"/>
      <protection/>
    </xf>
    <xf numFmtId="4" fontId="16" fillId="0" borderId="2" xfId="19" applyNumberFormat="1" applyFont="1" applyFill="1" applyBorder="1" applyAlignment="1">
      <alignment horizontal="center" vertical="center" wrapText="1"/>
      <protection/>
    </xf>
    <xf numFmtId="4" fontId="5" fillId="0" borderId="1" xfId="19" applyNumberFormat="1" applyFont="1" applyFill="1" applyBorder="1" applyAlignment="1">
      <alignment horizontal="left" vertical="center" wrapText="1"/>
      <protection/>
    </xf>
    <xf numFmtId="1" fontId="5" fillId="0" borderId="1" xfId="19" applyNumberFormat="1" applyFont="1" applyFill="1" applyBorder="1" applyAlignment="1">
      <alignment horizontal="center" vertical="center" wrapText="1"/>
      <protection/>
    </xf>
    <xf numFmtId="4" fontId="5" fillId="0" borderId="1" xfId="19" applyNumberFormat="1" applyFont="1" applyFill="1" applyBorder="1" applyAlignment="1">
      <alignment horizontal="center" vertical="center" wrapText="1"/>
      <protection/>
    </xf>
    <xf numFmtId="4" fontId="15" fillId="0" borderId="5" xfId="19" applyNumberFormat="1" applyFont="1" applyFill="1" applyBorder="1" applyAlignment="1">
      <alignment horizontal="center" vertical="center" wrapText="1"/>
      <protection/>
    </xf>
    <xf numFmtId="1" fontId="5" fillId="0" borderId="4" xfId="19" applyNumberFormat="1" applyFont="1" applyFill="1" applyBorder="1" applyAlignment="1">
      <alignment horizontal="center" vertical="center" wrapText="1"/>
      <protection/>
    </xf>
    <xf numFmtId="1" fontId="5" fillId="0" borderId="6" xfId="19" applyNumberFormat="1" applyFont="1" applyFill="1" applyBorder="1" applyAlignment="1">
      <alignment horizontal="center" vertical="center" wrapText="1"/>
      <protection/>
    </xf>
    <xf numFmtId="1" fontId="5" fillId="0" borderId="2" xfId="19" applyNumberFormat="1" applyFont="1" applyFill="1" applyBorder="1" applyAlignment="1">
      <alignment horizontal="center" vertical="center" wrapText="1"/>
      <protection/>
    </xf>
    <xf numFmtId="1" fontId="5" fillId="0" borderId="1" xfId="19" applyNumberFormat="1" applyFont="1" applyFill="1" applyBorder="1" applyAlignment="1">
      <alignment horizontal="center" vertical="center" wrapText="1"/>
      <protection/>
    </xf>
    <xf numFmtId="1" fontId="5" fillId="0" borderId="7" xfId="19" applyNumberFormat="1" applyFont="1" applyFill="1" applyBorder="1" applyAlignment="1">
      <alignment horizontal="center" vertical="center" wrapText="1"/>
      <protection/>
    </xf>
    <xf numFmtId="1" fontId="5" fillId="0" borderId="8" xfId="19" applyNumberFormat="1" applyFont="1" applyFill="1" applyBorder="1" applyAlignment="1">
      <alignment horizontal="center" vertical="center" wrapText="1"/>
      <protection/>
    </xf>
    <xf numFmtId="1" fontId="5" fillId="0" borderId="9" xfId="19" applyNumberFormat="1" applyFont="1" applyFill="1" applyBorder="1" applyAlignment="1">
      <alignment horizontal="center" vertical="center" wrapText="1"/>
      <protection/>
    </xf>
    <xf numFmtId="1" fontId="5" fillId="0" borderId="10" xfId="19" applyNumberFormat="1" applyFont="1" applyFill="1" applyBorder="1" applyAlignment="1">
      <alignment horizontal="center" vertical="center" wrapText="1"/>
      <protection/>
    </xf>
    <xf numFmtId="1" fontId="5" fillId="0" borderId="5" xfId="19" applyNumberFormat="1" applyFont="1" applyFill="1" applyBorder="1" applyAlignment="1">
      <alignment horizontal="center" vertical="center" wrapText="1"/>
      <protection/>
    </xf>
    <xf numFmtId="1" fontId="5" fillId="0" borderId="11" xfId="19" applyNumberFormat="1" applyFont="1" applyFill="1" applyBorder="1" applyAlignment="1">
      <alignment horizontal="center" vertical="center" wrapText="1"/>
      <protection/>
    </xf>
    <xf numFmtId="1" fontId="5" fillId="0" borderId="4" xfId="19" applyNumberFormat="1" applyFont="1" applyFill="1" applyBorder="1" applyAlignment="1">
      <alignment horizontal="center" vertical="center" wrapText="1"/>
      <protection/>
    </xf>
    <xf numFmtId="1" fontId="5" fillId="0" borderId="6" xfId="19" applyNumberFormat="1" applyFont="1" applyFill="1" applyBorder="1" applyAlignment="1">
      <alignment horizontal="center" vertical="center" wrapText="1"/>
      <protection/>
    </xf>
    <xf numFmtId="1" fontId="5" fillId="0" borderId="2" xfId="19" applyNumberFormat="1" applyFont="1" applyFill="1" applyBorder="1" applyAlignment="1">
      <alignment horizontal="center" vertical="center" wrapText="1"/>
      <protection/>
    </xf>
    <xf numFmtId="4" fontId="16" fillId="0" borderId="4" xfId="19" applyNumberFormat="1" applyFont="1" applyFill="1" applyBorder="1" applyAlignment="1">
      <alignment horizontal="center" vertical="center" wrapText="1"/>
      <protection/>
    </xf>
    <xf numFmtId="4" fontId="16" fillId="0" borderId="2" xfId="19" applyNumberFormat="1" applyFont="1" applyFill="1" applyBorder="1" applyAlignment="1">
      <alignment horizontal="center" vertical="center" wrapText="1"/>
      <protection/>
    </xf>
    <xf numFmtId="3" fontId="5" fillId="0" borderId="12" xfId="19" applyNumberFormat="1" applyFont="1" applyFill="1" applyBorder="1" applyAlignment="1">
      <alignment horizontal="center" vertical="center" wrapText="1"/>
      <protection/>
    </xf>
    <xf numFmtId="3" fontId="5" fillId="0" borderId="3" xfId="19" applyNumberFormat="1" applyFont="1" applyFill="1" applyBorder="1" applyAlignment="1">
      <alignment horizontal="center" vertical="center" wrapText="1"/>
      <protection/>
    </xf>
    <xf numFmtId="1" fontId="11" fillId="0" borderId="4" xfId="19" applyNumberFormat="1" applyFont="1" applyFill="1" applyBorder="1" applyAlignment="1">
      <alignment horizontal="left" vertical="center" wrapText="1"/>
      <protection/>
    </xf>
    <xf numFmtId="1" fontId="11" fillId="0" borderId="2" xfId="19" applyNumberFormat="1" applyFont="1" applyFill="1" applyBorder="1" applyAlignment="1">
      <alignment horizontal="left" vertical="center" wrapText="1"/>
      <protection/>
    </xf>
    <xf numFmtId="4" fontId="11" fillId="0" borderId="1" xfId="19" applyNumberFormat="1" applyFont="1" applyFill="1" applyBorder="1" applyAlignment="1">
      <alignment horizontal="left" vertical="center" wrapText="1"/>
      <protection/>
    </xf>
    <xf numFmtId="4" fontId="5" fillId="0" borderId="1" xfId="19" applyNumberFormat="1" applyFont="1" applyFill="1" applyBorder="1" applyAlignment="1">
      <alignment horizontal="left" vertical="center" wrapText="1"/>
      <protection/>
    </xf>
    <xf numFmtId="4" fontId="15" fillId="0" borderId="5" xfId="19" applyNumberFormat="1" applyFont="1" applyFill="1" applyBorder="1" applyAlignment="1">
      <alignment horizontal="center" vertical="center" wrapText="1"/>
      <protection/>
    </xf>
  </cellXfs>
  <cellStyles count="10">
    <cellStyle name="Normal" xfId="0"/>
    <cellStyle name="Comma" xfId="15"/>
    <cellStyle name="Comma [0]" xfId="16"/>
    <cellStyle name="Hyperlink" xfId="17"/>
    <cellStyle name="Normalny_B_99" xfId="18"/>
    <cellStyle name="Normalny_d_stawkimax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7"/>
  <sheetViews>
    <sheetView workbookViewId="0" topLeftCell="A1">
      <pane xSplit="2" ySplit="4" topLeftCell="E5" activePane="bottomRight" state="frozen"/>
      <selection pane="topLeft" activeCell="A27" sqref="A27:B27"/>
      <selection pane="topRight" activeCell="A27" sqref="A27:B27"/>
      <selection pane="bottomLeft" activeCell="A27" sqref="A27:B27"/>
      <selection pane="bottomRight" activeCell="A1" sqref="A1:L1"/>
    </sheetView>
  </sheetViews>
  <sheetFormatPr defaultColWidth="9.140625" defaultRowHeight="12"/>
  <cols>
    <col min="1" max="1" width="4.140625" style="75" customWidth="1"/>
    <col min="2" max="2" width="55.140625" style="75" customWidth="1"/>
    <col min="3" max="3" width="13.140625" style="60" hidden="1" customWidth="1"/>
    <col min="4" max="4" width="13.8515625" style="60" hidden="1" customWidth="1"/>
    <col min="5" max="5" width="15.7109375" style="59" customWidth="1"/>
    <col min="6" max="6" width="16.00390625" style="60" hidden="1" customWidth="1"/>
    <col min="7" max="7" width="17.00390625" style="60" hidden="1" customWidth="1"/>
    <col min="8" max="8" width="15.8515625" style="59" customWidth="1"/>
    <col min="9" max="9" width="14.421875" style="60" hidden="1" customWidth="1"/>
    <col min="10" max="10" width="13.28125" style="60" hidden="1" customWidth="1"/>
    <col min="11" max="11" width="16.00390625" style="59" customWidth="1"/>
    <col min="12" max="12" width="9.8515625" style="59" customWidth="1"/>
    <col min="13" max="32" width="9.28125" style="75" customWidth="1"/>
    <col min="33" max="16384" width="9.140625" style="75" customWidth="1"/>
  </cols>
  <sheetData>
    <row r="1" spans="1:12" s="70" customFormat="1" ht="39" customHeight="1">
      <c r="A1" s="140" t="s">
        <v>85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1:12" s="56" customFormat="1" ht="11.25">
      <c r="A2" s="138" t="s">
        <v>8</v>
      </c>
      <c r="B2" s="139" t="s">
        <v>101</v>
      </c>
      <c r="C2" s="144" t="s">
        <v>118</v>
      </c>
      <c r="D2" s="144"/>
      <c r="E2" s="144"/>
      <c r="F2" s="144" t="s">
        <v>97</v>
      </c>
      <c r="G2" s="144"/>
      <c r="H2" s="144"/>
      <c r="I2" s="141" t="s">
        <v>169</v>
      </c>
      <c r="J2" s="142"/>
      <c r="K2" s="142"/>
      <c r="L2" s="143"/>
    </row>
    <row r="3" spans="1:12" s="56" customFormat="1" ht="33.75">
      <c r="A3" s="138"/>
      <c r="B3" s="139"/>
      <c r="C3" s="144"/>
      <c r="D3" s="144"/>
      <c r="E3" s="144"/>
      <c r="F3" s="144"/>
      <c r="G3" s="144"/>
      <c r="H3" s="144"/>
      <c r="I3" s="3" t="s">
        <v>9</v>
      </c>
      <c r="J3" s="3" t="s">
        <v>10</v>
      </c>
      <c r="K3" s="3" t="s">
        <v>13</v>
      </c>
      <c r="L3" s="3" t="s">
        <v>94</v>
      </c>
    </row>
    <row r="4" spans="1:14" s="127" customFormat="1" ht="11.25">
      <c r="A4" s="124">
        <v>1</v>
      </c>
      <c r="B4" s="124">
        <v>2</v>
      </c>
      <c r="C4" s="125"/>
      <c r="D4" s="125"/>
      <c r="E4" s="125">
        <v>3</v>
      </c>
      <c r="F4" s="125"/>
      <c r="G4" s="125"/>
      <c r="H4" s="125">
        <v>4</v>
      </c>
      <c r="I4" s="125"/>
      <c r="J4" s="125"/>
      <c r="K4" s="125">
        <v>5</v>
      </c>
      <c r="L4" s="125">
        <v>6</v>
      </c>
      <c r="M4" s="126"/>
      <c r="N4" s="126"/>
    </row>
    <row r="5" spans="1:14" s="69" customFormat="1" ht="12.75">
      <c r="A5" s="135" t="s">
        <v>89</v>
      </c>
      <c r="B5" s="136"/>
      <c r="C5" s="67">
        <f>SUM(C6,C104,C107)</f>
        <v>675237139</v>
      </c>
      <c r="D5" s="67">
        <f>SUM(D6,D104,D107)</f>
        <v>220948595</v>
      </c>
      <c r="E5" s="33">
        <f aca="true" t="shared" si="0" ref="E5:E32">SUM(C5:D5)</f>
        <v>896185734</v>
      </c>
      <c r="F5" s="67">
        <f>SUM(F6,F104,F107)</f>
        <v>675237139</v>
      </c>
      <c r="G5" s="67">
        <f>SUM(G6,G104,G107)</f>
        <v>220948595</v>
      </c>
      <c r="H5" s="33">
        <f aca="true" t="shared" si="1" ref="H5:H32">SUM(F5:G5)</f>
        <v>896185734</v>
      </c>
      <c r="I5" s="67">
        <f>SUM(I6,I104,I107)</f>
        <v>729971079</v>
      </c>
      <c r="J5" s="67">
        <f>SUM(J6,J104,J107)</f>
        <v>196747628</v>
      </c>
      <c r="K5" s="33">
        <f aca="true" t="shared" si="2" ref="K5:K32">SUM(I5:J5)</f>
        <v>926718707</v>
      </c>
      <c r="L5" s="63">
        <f aca="true" t="shared" si="3" ref="L5:L24">K5/H5</f>
        <v>1.034069916359548</v>
      </c>
      <c r="M5" s="68"/>
      <c r="N5" s="68"/>
    </row>
    <row r="6" spans="1:14" s="6" customFormat="1" ht="12.75">
      <c r="A6" s="132" t="s">
        <v>82</v>
      </c>
      <c r="B6" s="137"/>
      <c r="C6" s="5">
        <f>SUM(C7,C21,C25,C32,C65,C79,C55,C101)</f>
        <v>527602353</v>
      </c>
      <c r="D6" s="5">
        <f>SUM(D7,D21,D25,D32,D65,D79,D55,D101)</f>
        <v>83222266</v>
      </c>
      <c r="E6" s="5">
        <f t="shared" si="0"/>
        <v>610824619</v>
      </c>
      <c r="F6" s="5">
        <f>SUM(F7,F21,F25,F32,F65,F79,F55,F101)</f>
        <v>527602353</v>
      </c>
      <c r="G6" s="5">
        <f>SUM(G7,G21,G25,G32,G65,G79,G55,G101)</f>
        <v>83222266</v>
      </c>
      <c r="H6" s="5">
        <f t="shared" si="1"/>
        <v>610824619</v>
      </c>
      <c r="I6" s="5">
        <f>SUM(I7,I21,I25,I32,I65,I79,I55,I101)</f>
        <v>570194210</v>
      </c>
      <c r="J6" s="5">
        <f>SUM(J7,J21,J25,J32,J65,J79,J55,J101)</f>
        <v>84608744</v>
      </c>
      <c r="K6" s="5">
        <f t="shared" si="2"/>
        <v>654802954</v>
      </c>
      <c r="L6" s="63">
        <f t="shared" si="3"/>
        <v>1.0719983013651255</v>
      </c>
      <c r="M6" s="61"/>
      <c r="N6" s="61"/>
    </row>
    <row r="7" spans="1:14" s="9" customFormat="1" ht="12">
      <c r="A7" s="21">
        <v>1</v>
      </c>
      <c r="B7" s="23" t="s">
        <v>106</v>
      </c>
      <c r="C7" s="7">
        <f>SUM(C8:C20)</f>
        <v>130955322</v>
      </c>
      <c r="D7" s="7">
        <f>SUM(D8:D20)</f>
        <v>12623530</v>
      </c>
      <c r="E7" s="7">
        <f t="shared" si="0"/>
        <v>143578852</v>
      </c>
      <c r="F7" s="7">
        <f>SUM(F8:F20)</f>
        <v>140955322</v>
      </c>
      <c r="G7" s="7">
        <f>SUM(G8:G20)</f>
        <v>12623530</v>
      </c>
      <c r="H7" s="7">
        <f t="shared" si="1"/>
        <v>153578852</v>
      </c>
      <c r="I7" s="7">
        <f>SUM(I8:I20)</f>
        <v>187474050</v>
      </c>
      <c r="J7" s="7">
        <f>SUM(J8:J20)</f>
        <v>14180653</v>
      </c>
      <c r="K7" s="7">
        <f t="shared" si="2"/>
        <v>201654703</v>
      </c>
      <c r="L7" s="63">
        <f t="shared" si="3"/>
        <v>1.313036921255278</v>
      </c>
      <c r="M7" s="62"/>
      <c r="N7" s="62"/>
    </row>
    <row r="8" spans="1:12" s="14" customFormat="1" ht="11.25">
      <c r="A8" s="41"/>
      <c r="B8" s="71" t="s">
        <v>12</v>
      </c>
      <c r="C8" s="13">
        <f>90480000+18679400+675105+113000</f>
        <v>109947505</v>
      </c>
      <c r="D8" s="13"/>
      <c r="E8" s="12">
        <f t="shared" si="0"/>
        <v>109947505</v>
      </c>
      <c r="F8" s="13">
        <f>90480000+18679400+675105+113000+10000000</f>
        <v>119947505</v>
      </c>
      <c r="G8" s="13"/>
      <c r="H8" s="12">
        <f t="shared" si="1"/>
        <v>119947505</v>
      </c>
      <c r="I8" s="13">
        <f>148000000+19165060</f>
        <v>167165060</v>
      </c>
      <c r="J8" s="13"/>
      <c r="K8" s="12">
        <f t="shared" si="2"/>
        <v>167165060</v>
      </c>
      <c r="L8" s="63">
        <f t="shared" si="3"/>
        <v>1.3936518312740227</v>
      </c>
    </row>
    <row r="9" spans="1:12" s="14" customFormat="1" ht="11.25">
      <c r="A9" s="41"/>
      <c r="B9" s="10" t="s">
        <v>16</v>
      </c>
      <c r="C9" s="13">
        <f>5880600+2724500</f>
        <v>8605100</v>
      </c>
      <c r="D9" s="13"/>
      <c r="E9" s="12">
        <f t="shared" si="0"/>
        <v>8605100</v>
      </c>
      <c r="F9" s="13">
        <f>5880600+2724500</f>
        <v>8605100</v>
      </c>
      <c r="G9" s="13"/>
      <c r="H9" s="12">
        <f t="shared" si="1"/>
        <v>8605100</v>
      </c>
      <c r="I9" s="13">
        <f>6033500+2300000</f>
        <v>8333500</v>
      </c>
      <c r="J9" s="13"/>
      <c r="K9" s="12">
        <f t="shared" si="2"/>
        <v>8333500</v>
      </c>
      <c r="L9" s="63">
        <f t="shared" si="3"/>
        <v>0.968437322053201</v>
      </c>
    </row>
    <row r="10" spans="1:12" s="19" customFormat="1" ht="11.25">
      <c r="A10" s="42"/>
      <c r="B10" s="72" t="s">
        <v>19</v>
      </c>
      <c r="C10" s="13">
        <f>2050+39500</f>
        <v>41550</v>
      </c>
      <c r="D10" s="18"/>
      <c r="E10" s="17">
        <f t="shared" si="0"/>
        <v>41550</v>
      </c>
      <c r="F10" s="13">
        <f>2050+39500</f>
        <v>41550</v>
      </c>
      <c r="G10" s="18"/>
      <c r="H10" s="17">
        <f t="shared" si="1"/>
        <v>41550</v>
      </c>
      <c r="I10" s="13">
        <f>2100+40530</f>
        <v>42630</v>
      </c>
      <c r="J10" s="18"/>
      <c r="K10" s="17">
        <f t="shared" si="2"/>
        <v>42630</v>
      </c>
      <c r="L10" s="63">
        <f t="shared" si="3"/>
        <v>1.0259927797833934</v>
      </c>
    </row>
    <row r="11" spans="1:12" s="90" customFormat="1" ht="11.25">
      <c r="A11" s="57"/>
      <c r="B11" s="71" t="s">
        <v>20</v>
      </c>
      <c r="C11" s="13">
        <f>70500+4250</f>
        <v>74750</v>
      </c>
      <c r="D11" s="13"/>
      <c r="E11" s="12">
        <f t="shared" si="0"/>
        <v>74750</v>
      </c>
      <c r="F11" s="13">
        <f>70500+4250</f>
        <v>74750</v>
      </c>
      <c r="G11" s="13"/>
      <c r="H11" s="12">
        <f t="shared" si="1"/>
        <v>74750</v>
      </c>
      <c r="I11" s="13">
        <f>72000+4360</f>
        <v>76360</v>
      </c>
      <c r="J11" s="13"/>
      <c r="K11" s="12">
        <f t="shared" si="2"/>
        <v>76360</v>
      </c>
      <c r="L11" s="63">
        <f t="shared" si="3"/>
        <v>1.0215384615384615</v>
      </c>
    </row>
    <row r="12" spans="1:12" s="91" customFormat="1" ht="11.25">
      <c r="A12" s="57"/>
      <c r="B12" s="72" t="s">
        <v>21</v>
      </c>
      <c r="C12" s="13">
        <v>1000</v>
      </c>
      <c r="D12" s="13"/>
      <c r="E12" s="12">
        <f t="shared" si="0"/>
        <v>1000</v>
      </c>
      <c r="F12" s="13">
        <v>1000</v>
      </c>
      <c r="G12" s="13"/>
      <c r="H12" s="12">
        <f t="shared" si="1"/>
        <v>1000</v>
      </c>
      <c r="I12" s="13">
        <v>500</v>
      </c>
      <c r="J12" s="13"/>
      <c r="K12" s="12">
        <f t="shared" si="2"/>
        <v>500</v>
      </c>
      <c r="L12" s="63">
        <f t="shared" si="3"/>
        <v>0.5</v>
      </c>
    </row>
    <row r="13" spans="1:12" s="90" customFormat="1" ht="22.5">
      <c r="A13" s="92"/>
      <c r="B13" s="73" t="s">
        <v>100</v>
      </c>
      <c r="C13" s="13">
        <v>562417</v>
      </c>
      <c r="D13" s="13"/>
      <c r="E13" s="12">
        <f t="shared" si="0"/>
        <v>562417</v>
      </c>
      <c r="F13" s="13">
        <v>562417</v>
      </c>
      <c r="G13" s="13"/>
      <c r="H13" s="12">
        <f t="shared" si="1"/>
        <v>562417</v>
      </c>
      <c r="I13" s="13">
        <v>433000</v>
      </c>
      <c r="J13" s="13"/>
      <c r="K13" s="12">
        <f t="shared" si="2"/>
        <v>433000</v>
      </c>
      <c r="L13" s="63">
        <f t="shared" si="3"/>
        <v>0.7698913795280015</v>
      </c>
    </row>
    <row r="14" spans="1:12" s="14" customFormat="1" ht="11.25">
      <c r="A14" s="41"/>
      <c r="B14" s="10" t="s">
        <v>17</v>
      </c>
      <c r="C14" s="13">
        <v>4100000</v>
      </c>
      <c r="D14" s="13"/>
      <c r="E14" s="12">
        <f t="shared" si="0"/>
        <v>4100000</v>
      </c>
      <c r="F14" s="13">
        <v>4100000</v>
      </c>
      <c r="G14" s="13"/>
      <c r="H14" s="12">
        <f t="shared" si="1"/>
        <v>4100000</v>
      </c>
      <c r="I14" s="13">
        <v>4100000</v>
      </c>
      <c r="J14" s="13"/>
      <c r="K14" s="12">
        <f t="shared" si="2"/>
        <v>4100000</v>
      </c>
      <c r="L14" s="63">
        <f t="shared" si="3"/>
        <v>1</v>
      </c>
    </row>
    <row r="15" spans="1:12" s="14" customFormat="1" ht="11.25">
      <c r="A15" s="41"/>
      <c r="B15" s="10" t="s">
        <v>44</v>
      </c>
      <c r="C15" s="13">
        <v>5200000</v>
      </c>
      <c r="D15" s="13"/>
      <c r="E15" s="12">
        <f t="shared" si="0"/>
        <v>5200000</v>
      </c>
      <c r="F15" s="13">
        <v>5200000</v>
      </c>
      <c r="G15" s="13"/>
      <c r="H15" s="12">
        <f t="shared" si="1"/>
        <v>5200000</v>
      </c>
      <c r="I15" s="13">
        <v>5400000</v>
      </c>
      <c r="J15" s="13"/>
      <c r="K15" s="12">
        <f t="shared" si="2"/>
        <v>5400000</v>
      </c>
      <c r="L15" s="63">
        <f t="shared" si="3"/>
        <v>1.0384615384615385</v>
      </c>
    </row>
    <row r="16" spans="1:12" s="14" customFormat="1" ht="11.25">
      <c r="A16" s="46"/>
      <c r="B16" s="25" t="s">
        <v>140</v>
      </c>
      <c r="C16" s="13"/>
      <c r="D16" s="13">
        <v>5365000</v>
      </c>
      <c r="E16" s="12">
        <f t="shared" si="0"/>
        <v>5365000</v>
      </c>
      <c r="F16" s="13"/>
      <c r="G16" s="13">
        <v>5365000</v>
      </c>
      <c r="H16" s="12">
        <f t="shared" si="1"/>
        <v>5365000</v>
      </c>
      <c r="I16" s="13"/>
      <c r="J16" s="13">
        <v>5100000</v>
      </c>
      <c r="K16" s="12">
        <f t="shared" si="2"/>
        <v>5100000</v>
      </c>
      <c r="L16" s="63">
        <f t="shared" si="3"/>
        <v>0.9506057781919851</v>
      </c>
    </row>
    <row r="17" spans="1:12" s="90" customFormat="1" ht="11.25">
      <c r="A17" s="57"/>
      <c r="B17" s="72" t="s">
        <v>110</v>
      </c>
      <c r="C17" s="13">
        <f>823000+150000</f>
        <v>973000</v>
      </c>
      <c r="D17" s="13"/>
      <c r="E17" s="12">
        <f t="shared" si="0"/>
        <v>973000</v>
      </c>
      <c r="F17" s="13">
        <f>823000+150000</f>
        <v>973000</v>
      </c>
      <c r="G17" s="13"/>
      <c r="H17" s="12">
        <f t="shared" si="1"/>
        <v>973000</v>
      </c>
      <c r="I17" s="13">
        <f>823000+100000</f>
        <v>923000</v>
      </c>
      <c r="J17" s="13"/>
      <c r="K17" s="12">
        <f t="shared" si="2"/>
        <v>923000</v>
      </c>
      <c r="L17" s="63">
        <f t="shared" si="3"/>
        <v>0.9486125385405961</v>
      </c>
    </row>
    <row r="18" spans="1:12" s="90" customFormat="1" ht="22.5">
      <c r="A18" s="57"/>
      <c r="B18" s="72" t="s">
        <v>137</v>
      </c>
      <c r="C18" s="13"/>
      <c r="D18" s="13">
        <f>5143620+40000+70910+610000+500000+60000+34000+800000</f>
        <v>7258530</v>
      </c>
      <c r="E18" s="12">
        <f t="shared" si="0"/>
        <v>7258530</v>
      </c>
      <c r="F18" s="13"/>
      <c r="G18" s="13">
        <f>5143620+40000+70910+610000+500000+60000+34000+800000</f>
        <v>7258530</v>
      </c>
      <c r="H18" s="12">
        <f t="shared" si="1"/>
        <v>7258530</v>
      </c>
      <c r="I18" s="13"/>
      <c r="J18" s="13">
        <f>35000+26000+8399653+620000</f>
        <v>9080653</v>
      </c>
      <c r="K18" s="12">
        <f t="shared" si="2"/>
        <v>9080653</v>
      </c>
      <c r="L18" s="63">
        <f t="shared" si="3"/>
        <v>1.2510319582615212</v>
      </c>
    </row>
    <row r="19" spans="1:12" s="91" customFormat="1" ht="11.25">
      <c r="A19" s="92"/>
      <c r="B19" s="71" t="s">
        <v>31</v>
      </c>
      <c r="C19" s="13">
        <v>250000</v>
      </c>
      <c r="D19" s="13"/>
      <c r="E19" s="12">
        <f t="shared" si="0"/>
        <v>250000</v>
      </c>
      <c r="F19" s="13">
        <v>250000</v>
      </c>
      <c r="G19" s="13"/>
      <c r="H19" s="12">
        <f t="shared" si="1"/>
        <v>250000</v>
      </c>
      <c r="I19" s="13">
        <v>250000</v>
      </c>
      <c r="J19" s="13"/>
      <c r="K19" s="12">
        <f t="shared" si="2"/>
        <v>250000</v>
      </c>
      <c r="L19" s="63">
        <f t="shared" si="3"/>
        <v>1</v>
      </c>
    </row>
    <row r="20" spans="1:12" s="94" customFormat="1" ht="11.25">
      <c r="A20" s="93"/>
      <c r="B20" s="74" t="s">
        <v>22</v>
      </c>
      <c r="C20" s="13">
        <f>900000+300000</f>
        <v>1200000</v>
      </c>
      <c r="D20" s="13"/>
      <c r="E20" s="12">
        <f t="shared" si="0"/>
        <v>1200000</v>
      </c>
      <c r="F20" s="13">
        <f>900000+300000</f>
        <v>1200000</v>
      </c>
      <c r="G20" s="13"/>
      <c r="H20" s="12">
        <f t="shared" si="1"/>
        <v>1200000</v>
      </c>
      <c r="I20" s="13">
        <f>450000+300000</f>
        <v>750000</v>
      </c>
      <c r="J20" s="13"/>
      <c r="K20" s="12">
        <f t="shared" si="2"/>
        <v>750000</v>
      </c>
      <c r="L20" s="63">
        <f t="shared" si="3"/>
        <v>0.625</v>
      </c>
    </row>
    <row r="21" spans="1:12" s="8" customFormat="1" ht="12">
      <c r="A21" s="21">
        <v>2</v>
      </c>
      <c r="B21" s="22" t="s">
        <v>23</v>
      </c>
      <c r="C21" s="7">
        <f>SUM(C22:C24)</f>
        <v>31300000</v>
      </c>
      <c r="D21" s="7">
        <f>SUM(D22:D24)</f>
        <v>0</v>
      </c>
      <c r="E21" s="7">
        <f t="shared" si="0"/>
        <v>31300000</v>
      </c>
      <c r="F21" s="7">
        <f>SUM(F22:F24)</f>
        <v>31300000</v>
      </c>
      <c r="G21" s="7">
        <f>SUM(G22:G24)</f>
        <v>0</v>
      </c>
      <c r="H21" s="7">
        <f t="shared" si="1"/>
        <v>31300000</v>
      </c>
      <c r="I21" s="7">
        <f>SUM(I22:I24)</f>
        <v>31300000</v>
      </c>
      <c r="J21" s="7">
        <f>SUM(J22:J24)</f>
        <v>0</v>
      </c>
      <c r="K21" s="7">
        <f t="shared" si="2"/>
        <v>31300000</v>
      </c>
      <c r="L21" s="63">
        <f t="shared" si="3"/>
        <v>1</v>
      </c>
    </row>
    <row r="22" spans="1:12" s="14" customFormat="1" ht="11.25">
      <c r="A22" s="41"/>
      <c r="B22" s="15" t="s">
        <v>24</v>
      </c>
      <c r="C22" s="13">
        <v>800000</v>
      </c>
      <c r="D22" s="13"/>
      <c r="E22" s="12">
        <f t="shared" si="0"/>
        <v>800000</v>
      </c>
      <c r="F22" s="13">
        <v>800000</v>
      </c>
      <c r="G22" s="13"/>
      <c r="H22" s="12">
        <f t="shared" si="1"/>
        <v>800000</v>
      </c>
      <c r="I22" s="13">
        <v>800000</v>
      </c>
      <c r="J22" s="13"/>
      <c r="K22" s="12">
        <f t="shared" si="2"/>
        <v>800000</v>
      </c>
      <c r="L22" s="63">
        <f t="shared" si="3"/>
        <v>1</v>
      </c>
    </row>
    <row r="23" spans="1:12" s="14" customFormat="1" ht="11.25">
      <c r="A23" s="41"/>
      <c r="B23" s="15" t="s">
        <v>25</v>
      </c>
      <c r="C23" s="13">
        <v>3500000</v>
      </c>
      <c r="D23" s="13"/>
      <c r="E23" s="12">
        <f t="shared" si="0"/>
        <v>3500000</v>
      </c>
      <c r="F23" s="13">
        <v>3500000</v>
      </c>
      <c r="G23" s="13"/>
      <c r="H23" s="12">
        <f t="shared" si="1"/>
        <v>3500000</v>
      </c>
      <c r="I23" s="13">
        <v>3500000</v>
      </c>
      <c r="J23" s="13"/>
      <c r="K23" s="12">
        <f t="shared" si="2"/>
        <v>3500000</v>
      </c>
      <c r="L23" s="63">
        <f t="shared" si="3"/>
        <v>1</v>
      </c>
    </row>
    <row r="24" spans="1:12" s="14" customFormat="1" ht="11.25">
      <c r="A24" s="41"/>
      <c r="B24" s="15" t="s">
        <v>26</v>
      </c>
      <c r="C24" s="13">
        <v>27000000</v>
      </c>
      <c r="D24" s="13"/>
      <c r="E24" s="12">
        <f t="shared" si="0"/>
        <v>27000000</v>
      </c>
      <c r="F24" s="13">
        <v>27000000</v>
      </c>
      <c r="G24" s="13"/>
      <c r="H24" s="12">
        <f t="shared" si="1"/>
        <v>27000000</v>
      </c>
      <c r="I24" s="13">
        <f>3526100+23473900</f>
        <v>27000000</v>
      </c>
      <c r="J24" s="13"/>
      <c r="K24" s="12">
        <f t="shared" si="2"/>
        <v>27000000</v>
      </c>
      <c r="L24" s="63">
        <f t="shared" si="3"/>
        <v>1</v>
      </c>
    </row>
    <row r="25" spans="1:12" s="9" customFormat="1" ht="12">
      <c r="A25" s="21">
        <v>3</v>
      </c>
      <c r="B25" s="23" t="s">
        <v>107</v>
      </c>
      <c r="C25" s="7">
        <f>SUM(C26:C29)</f>
        <v>31980045</v>
      </c>
      <c r="D25" s="7">
        <f>SUM(D26:D29)</f>
        <v>104370</v>
      </c>
      <c r="E25" s="24">
        <f t="shared" si="0"/>
        <v>32084415</v>
      </c>
      <c r="F25" s="7">
        <f>SUM(F26:F29)</f>
        <v>31980045</v>
      </c>
      <c r="G25" s="7">
        <f>SUM(G26:G29)</f>
        <v>104370</v>
      </c>
      <c r="H25" s="24">
        <f t="shared" si="1"/>
        <v>32084415</v>
      </c>
      <c r="I25" s="7">
        <f>SUM(I26:I29)</f>
        <v>19584289</v>
      </c>
      <c r="J25" s="7">
        <f>SUM(J26:J29)</f>
        <v>110700</v>
      </c>
      <c r="K25" s="24">
        <f t="shared" si="2"/>
        <v>19694989</v>
      </c>
      <c r="L25" s="63">
        <f aca="true" t="shared" si="4" ref="L25:L42">K25/H25</f>
        <v>0.6138490915293298</v>
      </c>
    </row>
    <row r="26" spans="1:12" s="14" customFormat="1" ht="11.25">
      <c r="A26" s="41" t="s">
        <v>121</v>
      </c>
      <c r="B26" s="15" t="s">
        <v>28</v>
      </c>
      <c r="C26" s="13">
        <v>9000000</v>
      </c>
      <c r="D26" s="13"/>
      <c r="E26" s="12">
        <f t="shared" si="0"/>
        <v>9000000</v>
      </c>
      <c r="F26" s="13">
        <v>9000000</v>
      </c>
      <c r="G26" s="13"/>
      <c r="H26" s="12">
        <f t="shared" si="1"/>
        <v>9000000</v>
      </c>
      <c r="I26" s="13">
        <v>9000000</v>
      </c>
      <c r="J26" s="13"/>
      <c r="K26" s="12">
        <f t="shared" si="2"/>
        <v>9000000</v>
      </c>
      <c r="L26" s="63">
        <f t="shared" si="4"/>
        <v>1</v>
      </c>
    </row>
    <row r="27" spans="1:12" s="14" customFormat="1" ht="11.25">
      <c r="A27" s="41"/>
      <c r="B27" s="15" t="s">
        <v>29</v>
      </c>
      <c r="C27" s="13">
        <v>4000000</v>
      </c>
      <c r="D27" s="13"/>
      <c r="E27" s="12">
        <f t="shared" si="0"/>
        <v>4000000</v>
      </c>
      <c r="F27" s="13">
        <v>4000000</v>
      </c>
      <c r="G27" s="13"/>
      <c r="H27" s="12">
        <f t="shared" si="1"/>
        <v>4000000</v>
      </c>
      <c r="I27" s="13">
        <v>2000000</v>
      </c>
      <c r="J27" s="13"/>
      <c r="K27" s="12">
        <f t="shared" si="2"/>
        <v>2000000</v>
      </c>
      <c r="L27" s="63">
        <f t="shared" si="4"/>
        <v>0.5</v>
      </c>
    </row>
    <row r="28" spans="1:12" s="14" customFormat="1" ht="11.25">
      <c r="A28" s="41"/>
      <c r="B28" s="15" t="s">
        <v>30</v>
      </c>
      <c r="C28" s="13">
        <v>5700000</v>
      </c>
      <c r="D28" s="13"/>
      <c r="E28" s="12">
        <f t="shared" si="0"/>
        <v>5700000</v>
      </c>
      <c r="F28" s="13">
        <v>5700000</v>
      </c>
      <c r="G28" s="13"/>
      <c r="H28" s="12">
        <f t="shared" si="1"/>
        <v>5700000</v>
      </c>
      <c r="I28" s="13">
        <v>5500000</v>
      </c>
      <c r="J28" s="13"/>
      <c r="K28" s="12">
        <f t="shared" si="2"/>
        <v>5500000</v>
      </c>
      <c r="L28" s="63">
        <f t="shared" si="4"/>
        <v>0.9649122807017544</v>
      </c>
    </row>
    <row r="29" spans="1:12" s="14" customFormat="1" ht="11.25">
      <c r="A29" s="41"/>
      <c r="B29" s="15" t="s">
        <v>18</v>
      </c>
      <c r="C29" s="13">
        <f>SUM(C30:C31)</f>
        <v>13280045</v>
      </c>
      <c r="D29" s="13">
        <f>SUM(D30:D31)</f>
        <v>104370</v>
      </c>
      <c r="E29" s="12">
        <f t="shared" si="0"/>
        <v>13384415</v>
      </c>
      <c r="F29" s="13">
        <f>SUM(F30:F31)</f>
        <v>13280045</v>
      </c>
      <c r="G29" s="13">
        <f>SUM(G30:G31)</f>
        <v>104370</v>
      </c>
      <c r="H29" s="12">
        <f t="shared" si="1"/>
        <v>13384415</v>
      </c>
      <c r="I29" s="13">
        <f>SUM(I30:I31)</f>
        <v>3084289</v>
      </c>
      <c r="J29" s="13">
        <f>SUM(J30:J31)</f>
        <v>110700</v>
      </c>
      <c r="K29" s="12">
        <f t="shared" si="2"/>
        <v>3194989</v>
      </c>
      <c r="L29" s="63">
        <f t="shared" si="4"/>
        <v>0.2387096484978985</v>
      </c>
    </row>
    <row r="30" spans="1:12" s="52" customFormat="1" ht="22.5">
      <c r="A30" s="50"/>
      <c r="B30" s="51" t="s">
        <v>33</v>
      </c>
      <c r="C30" s="18">
        <f>10670958+300000+1185611+366000+28932+30000+588424</f>
        <v>13169925</v>
      </c>
      <c r="D30" s="18">
        <f>8520+40000</f>
        <v>48520</v>
      </c>
      <c r="E30" s="17">
        <f t="shared" si="0"/>
        <v>13218445</v>
      </c>
      <c r="F30" s="18">
        <f>10670958+300000+1185611+366000+28932+30000+588424</f>
        <v>13169925</v>
      </c>
      <c r="G30" s="18">
        <f>8520+40000</f>
        <v>48520</v>
      </c>
      <c r="H30" s="17">
        <f t="shared" si="1"/>
        <v>13218445</v>
      </c>
      <c r="I30" s="18">
        <f>25000+1154991+250000+1520000+26730</f>
        <v>2976721</v>
      </c>
      <c r="J30" s="18">
        <f>91500</f>
        <v>91500</v>
      </c>
      <c r="K30" s="17">
        <f t="shared" si="2"/>
        <v>3068221</v>
      </c>
      <c r="L30" s="63">
        <f t="shared" si="4"/>
        <v>0.2321166370174404</v>
      </c>
    </row>
    <row r="31" spans="1:12" s="20" customFormat="1" ht="11.25">
      <c r="A31" s="44"/>
      <c r="B31" s="16" t="s">
        <v>34</v>
      </c>
      <c r="C31" s="18">
        <f>96220+2400+8500+3000</f>
        <v>110120</v>
      </c>
      <c r="D31" s="18">
        <f>13630+7000+34420+800</f>
        <v>55850</v>
      </c>
      <c r="E31" s="17">
        <f t="shared" si="0"/>
        <v>165970</v>
      </c>
      <c r="F31" s="18">
        <f>96220+2400+8500+3000</f>
        <v>110120</v>
      </c>
      <c r="G31" s="18">
        <f>13630+7000+34420+800</f>
        <v>55850</v>
      </c>
      <c r="H31" s="17">
        <f t="shared" si="1"/>
        <v>165970</v>
      </c>
      <c r="I31" s="18">
        <f>93372+5670+8526</f>
        <v>107568</v>
      </c>
      <c r="J31" s="18">
        <f>5500+8200+5500</f>
        <v>19200</v>
      </c>
      <c r="K31" s="17">
        <f t="shared" si="2"/>
        <v>126768</v>
      </c>
      <c r="L31" s="63">
        <f t="shared" si="4"/>
        <v>0.7638006868711212</v>
      </c>
    </row>
    <row r="32" spans="1:12" s="9" customFormat="1" ht="12">
      <c r="A32" s="21">
        <v>4</v>
      </c>
      <c r="B32" s="23" t="s">
        <v>35</v>
      </c>
      <c r="C32" s="7">
        <f>SUM(C33:C52)</f>
        <v>72968878</v>
      </c>
      <c r="D32" s="7">
        <f>SUM(D33:D52)</f>
        <v>2958418</v>
      </c>
      <c r="E32" s="24">
        <f t="shared" si="0"/>
        <v>75927296</v>
      </c>
      <c r="F32" s="7">
        <f>SUM(F33:F52)</f>
        <v>72968878</v>
      </c>
      <c r="G32" s="7">
        <f>SUM(G33:G52)</f>
        <v>2958418</v>
      </c>
      <c r="H32" s="24">
        <f t="shared" si="1"/>
        <v>75927296</v>
      </c>
      <c r="I32" s="7">
        <f>SUM(I33:I52)</f>
        <v>82509824</v>
      </c>
      <c r="J32" s="7">
        <f>SUM(J33:J52)</f>
        <v>4620626</v>
      </c>
      <c r="K32" s="24">
        <f t="shared" si="2"/>
        <v>87130450</v>
      </c>
      <c r="L32" s="63">
        <f t="shared" si="4"/>
        <v>1.1475510730686367</v>
      </c>
    </row>
    <row r="33" spans="1:12" s="14" customFormat="1" ht="11.25">
      <c r="A33" s="41"/>
      <c r="B33" s="15" t="s">
        <v>36</v>
      </c>
      <c r="C33" s="13">
        <v>64448061</v>
      </c>
      <c r="D33" s="66"/>
      <c r="E33" s="12">
        <f>SUM(C33:C33)</f>
        <v>64448061</v>
      </c>
      <c r="F33" s="13">
        <v>64448061</v>
      </c>
      <c r="G33" s="66"/>
      <c r="H33" s="12">
        <f>SUM(F33:F33)</f>
        <v>64448061</v>
      </c>
      <c r="I33" s="13">
        <f>64833791+72000+400000-2738791</f>
        <v>62567000</v>
      </c>
      <c r="J33" s="66"/>
      <c r="K33" s="12">
        <f>SUM(I33:I33)</f>
        <v>62567000</v>
      </c>
      <c r="L33" s="63">
        <f t="shared" si="4"/>
        <v>0.9708127603714873</v>
      </c>
    </row>
    <row r="34" spans="1:12" s="14" customFormat="1" ht="11.25">
      <c r="A34" s="41"/>
      <c r="B34" s="15" t="s">
        <v>105</v>
      </c>
      <c r="C34" s="13">
        <v>2690818</v>
      </c>
      <c r="D34" s="13"/>
      <c r="E34" s="12">
        <f aca="true" t="shared" si="5" ref="E34:E56">SUM(C34:D34)</f>
        <v>2690818</v>
      </c>
      <c r="F34" s="13">
        <v>2690818</v>
      </c>
      <c r="G34" s="13"/>
      <c r="H34" s="12">
        <f aca="true" t="shared" si="6" ref="H34:H56">SUM(F34:G34)</f>
        <v>2690818</v>
      </c>
      <c r="I34" s="13">
        <v>2738791</v>
      </c>
      <c r="J34" s="13"/>
      <c r="K34" s="12">
        <f aca="true" t="shared" si="7" ref="K34:K56">SUM(I34:J34)</f>
        <v>2738791</v>
      </c>
      <c r="L34" s="63">
        <f t="shared" si="4"/>
        <v>1.0178284075697428</v>
      </c>
    </row>
    <row r="35" spans="1:12" s="14" customFormat="1" ht="33.75">
      <c r="A35" s="41"/>
      <c r="B35" s="15" t="s">
        <v>152</v>
      </c>
      <c r="C35" s="13">
        <v>2435756</v>
      </c>
      <c r="D35" s="13">
        <v>400000</v>
      </c>
      <c r="E35" s="12">
        <f t="shared" si="5"/>
        <v>2835756</v>
      </c>
      <c r="F35" s="13">
        <v>2435756</v>
      </c>
      <c r="G35" s="13">
        <v>400000</v>
      </c>
      <c r="H35" s="12">
        <f t="shared" si="6"/>
        <v>2835756</v>
      </c>
      <c r="I35" s="13">
        <f>693056+601500</f>
        <v>1294556</v>
      </c>
      <c r="J35" s="13">
        <v>0</v>
      </c>
      <c r="K35" s="12">
        <f t="shared" si="7"/>
        <v>1294556</v>
      </c>
      <c r="L35" s="63">
        <f t="shared" si="4"/>
        <v>0.45651177322731573</v>
      </c>
    </row>
    <row r="36" spans="1:12" s="14" customFormat="1" ht="33.75">
      <c r="A36" s="41"/>
      <c r="B36" s="15" t="s">
        <v>1</v>
      </c>
      <c r="C36" s="13"/>
      <c r="D36" s="13"/>
      <c r="E36" s="12">
        <f t="shared" si="5"/>
        <v>0</v>
      </c>
      <c r="F36" s="13"/>
      <c r="G36" s="13"/>
      <c r="H36" s="12">
        <f t="shared" si="6"/>
        <v>0</v>
      </c>
      <c r="I36" s="13"/>
      <c r="J36" s="13">
        <f>1059976+950000+5000</f>
        <v>2014976</v>
      </c>
      <c r="K36" s="12">
        <f t="shared" si="7"/>
        <v>2014976</v>
      </c>
      <c r="L36" s="63"/>
    </row>
    <row r="37" spans="1:12" s="14" customFormat="1" ht="11.25">
      <c r="A37" s="41"/>
      <c r="B37" s="15" t="s">
        <v>159</v>
      </c>
      <c r="C37" s="13">
        <v>300000</v>
      </c>
      <c r="D37" s="13"/>
      <c r="E37" s="12">
        <f t="shared" si="5"/>
        <v>300000</v>
      </c>
      <c r="F37" s="13">
        <v>300000</v>
      </c>
      <c r="G37" s="13"/>
      <c r="H37" s="12">
        <f t="shared" si="6"/>
        <v>300000</v>
      </c>
      <c r="I37" s="13">
        <v>300000</v>
      </c>
      <c r="J37" s="13"/>
      <c r="K37" s="12">
        <f t="shared" si="7"/>
        <v>300000</v>
      </c>
      <c r="L37" s="63">
        <f t="shared" si="4"/>
        <v>1</v>
      </c>
    </row>
    <row r="38" spans="1:12" s="14" customFormat="1" ht="11.25">
      <c r="A38" s="41"/>
      <c r="B38" s="15" t="s">
        <v>37</v>
      </c>
      <c r="C38" s="13">
        <v>282034</v>
      </c>
      <c r="D38" s="13"/>
      <c r="E38" s="12">
        <f t="shared" si="5"/>
        <v>282034</v>
      </c>
      <c r="F38" s="13">
        <v>282034</v>
      </c>
      <c r="G38" s="13"/>
      <c r="H38" s="12">
        <f t="shared" si="6"/>
        <v>282034</v>
      </c>
      <c r="I38" s="13">
        <f>423990</f>
        <v>423990</v>
      </c>
      <c r="J38" s="13"/>
      <c r="K38" s="12">
        <f t="shared" si="7"/>
        <v>423990</v>
      </c>
      <c r="L38" s="63">
        <f t="shared" si="4"/>
        <v>1.503329385818731</v>
      </c>
    </row>
    <row r="39" spans="1:12" s="14" customFormat="1" ht="11.25">
      <c r="A39" s="41"/>
      <c r="B39" s="15" t="s">
        <v>4</v>
      </c>
      <c r="C39" s="13"/>
      <c r="D39" s="13"/>
      <c r="E39" s="12">
        <f t="shared" si="5"/>
        <v>0</v>
      </c>
      <c r="F39" s="13"/>
      <c r="G39" s="13"/>
      <c r="H39" s="12">
        <f t="shared" si="6"/>
        <v>0</v>
      </c>
      <c r="I39" s="13">
        <v>9438458</v>
      </c>
      <c r="J39" s="13"/>
      <c r="K39" s="12">
        <f t="shared" si="7"/>
        <v>9438458</v>
      </c>
      <c r="L39" s="63"/>
    </row>
    <row r="40" spans="1:12" s="14" customFormat="1" ht="22.5">
      <c r="A40" s="41"/>
      <c r="B40" s="15" t="s">
        <v>38</v>
      </c>
      <c r="C40" s="13">
        <f>588320+436240</f>
        <v>1024560</v>
      </c>
      <c r="D40" s="13"/>
      <c r="E40" s="12">
        <f t="shared" si="5"/>
        <v>1024560</v>
      </c>
      <c r="F40" s="13">
        <f>588320+436240</f>
        <v>1024560</v>
      </c>
      <c r="G40" s="13"/>
      <c r="H40" s="12">
        <f t="shared" si="6"/>
        <v>1024560</v>
      </c>
      <c r="I40" s="13">
        <f>580000+550000</f>
        <v>1130000</v>
      </c>
      <c r="J40" s="13"/>
      <c r="K40" s="12">
        <f t="shared" si="7"/>
        <v>1130000</v>
      </c>
      <c r="L40" s="63">
        <f t="shared" si="4"/>
        <v>1.1029124697431092</v>
      </c>
    </row>
    <row r="41" spans="1:12" s="14" customFormat="1" ht="11.25">
      <c r="A41" s="41"/>
      <c r="B41" s="15" t="s">
        <v>5</v>
      </c>
      <c r="C41" s="13"/>
      <c r="D41" s="13"/>
      <c r="E41" s="12">
        <f t="shared" si="5"/>
        <v>0</v>
      </c>
      <c r="F41" s="13"/>
      <c r="G41" s="13"/>
      <c r="H41" s="12">
        <f t="shared" si="6"/>
        <v>0</v>
      </c>
      <c r="I41" s="13">
        <f>516808+710000+201480+646000</f>
        <v>2074288</v>
      </c>
      <c r="J41" s="13"/>
      <c r="K41" s="12">
        <f t="shared" si="7"/>
        <v>2074288</v>
      </c>
      <c r="L41" s="63"/>
    </row>
    <row r="42" spans="1:12" s="14" customFormat="1" ht="11.25">
      <c r="A42" s="41"/>
      <c r="B42" s="15" t="s">
        <v>39</v>
      </c>
      <c r="C42" s="13">
        <v>788831</v>
      </c>
      <c r="D42" s="13"/>
      <c r="E42" s="12">
        <f t="shared" si="5"/>
        <v>788831</v>
      </c>
      <c r="F42" s="13">
        <v>788831</v>
      </c>
      <c r="G42" s="13"/>
      <c r="H42" s="12">
        <f t="shared" si="6"/>
        <v>788831</v>
      </c>
      <c r="I42" s="13">
        <v>1172763</v>
      </c>
      <c r="J42" s="13"/>
      <c r="K42" s="12">
        <f t="shared" si="7"/>
        <v>1172763</v>
      </c>
      <c r="L42" s="63">
        <f t="shared" si="4"/>
        <v>1.486710081120037</v>
      </c>
    </row>
    <row r="43" spans="1:12" s="14" customFormat="1" ht="11.25">
      <c r="A43" s="41"/>
      <c r="B43" s="15" t="s">
        <v>103</v>
      </c>
      <c r="C43" s="13"/>
      <c r="D43" s="13"/>
      <c r="E43" s="12">
        <f t="shared" si="5"/>
        <v>0</v>
      </c>
      <c r="F43" s="13"/>
      <c r="G43" s="13"/>
      <c r="H43" s="12">
        <f t="shared" si="6"/>
        <v>0</v>
      </c>
      <c r="I43" s="13">
        <v>180000</v>
      </c>
      <c r="J43" s="13"/>
      <c r="K43" s="12">
        <f t="shared" si="7"/>
        <v>180000</v>
      </c>
      <c r="L43" s="63"/>
    </row>
    <row r="44" spans="1:12" s="14" customFormat="1" ht="11.25">
      <c r="A44" s="41"/>
      <c r="B44" s="15" t="s">
        <v>40</v>
      </c>
      <c r="C44" s="13"/>
      <c r="D44" s="13">
        <v>467000</v>
      </c>
      <c r="E44" s="12">
        <f t="shared" si="5"/>
        <v>467000</v>
      </c>
      <c r="F44" s="13"/>
      <c r="G44" s="13">
        <v>467000</v>
      </c>
      <c r="H44" s="12">
        <f t="shared" si="6"/>
        <v>467000</v>
      </c>
      <c r="I44" s="13"/>
      <c r="J44" s="13">
        <v>467000</v>
      </c>
      <c r="K44" s="12">
        <f t="shared" si="7"/>
        <v>467000</v>
      </c>
      <c r="L44" s="63">
        <f aca="true" t="shared" si="8" ref="L44:L52">K44/H44</f>
        <v>1</v>
      </c>
    </row>
    <row r="45" spans="1:12" s="14" customFormat="1" ht="22.5">
      <c r="A45" s="41"/>
      <c r="B45" s="15" t="s">
        <v>120</v>
      </c>
      <c r="C45" s="13">
        <v>95000</v>
      </c>
      <c r="D45" s="13"/>
      <c r="E45" s="12">
        <f t="shared" si="5"/>
        <v>95000</v>
      </c>
      <c r="F45" s="13">
        <v>95000</v>
      </c>
      <c r="G45" s="13"/>
      <c r="H45" s="12">
        <f t="shared" si="6"/>
        <v>95000</v>
      </c>
      <c r="I45" s="13"/>
      <c r="J45" s="13"/>
      <c r="K45" s="12">
        <f t="shared" si="7"/>
        <v>0</v>
      </c>
      <c r="L45" s="63">
        <f t="shared" si="8"/>
        <v>0</v>
      </c>
    </row>
    <row r="46" spans="1:12" s="14" customFormat="1" ht="33.75">
      <c r="A46" s="41"/>
      <c r="B46" s="15" t="s">
        <v>41</v>
      </c>
      <c r="C46" s="13">
        <f>28500+16000</f>
        <v>44500</v>
      </c>
      <c r="D46" s="13">
        <f>22000+38000</f>
        <v>60000</v>
      </c>
      <c r="E46" s="12">
        <f t="shared" si="5"/>
        <v>104500</v>
      </c>
      <c r="F46" s="13">
        <f>28500+16000</f>
        <v>44500</v>
      </c>
      <c r="G46" s="13">
        <f>22000+38000</f>
        <v>60000</v>
      </c>
      <c r="H46" s="12">
        <f t="shared" si="6"/>
        <v>104500</v>
      </c>
      <c r="I46" s="13">
        <f>18000+28000</f>
        <v>46000</v>
      </c>
      <c r="J46" s="13">
        <f>28000+36000</f>
        <v>64000</v>
      </c>
      <c r="K46" s="12">
        <f t="shared" si="7"/>
        <v>110000</v>
      </c>
      <c r="L46" s="63">
        <f t="shared" si="8"/>
        <v>1.0526315789473684</v>
      </c>
    </row>
    <row r="47" spans="1:12" s="14" customFormat="1" ht="11.25">
      <c r="A47" s="41"/>
      <c r="B47" s="58" t="s">
        <v>112</v>
      </c>
      <c r="C47" s="13">
        <f>289290+110710</f>
        <v>400000</v>
      </c>
      <c r="D47" s="13"/>
      <c r="E47" s="12">
        <f t="shared" si="5"/>
        <v>400000</v>
      </c>
      <c r="F47" s="13">
        <f>289290+110710</f>
        <v>400000</v>
      </c>
      <c r="G47" s="13"/>
      <c r="H47" s="12">
        <f t="shared" si="6"/>
        <v>400000</v>
      </c>
      <c r="I47" s="13">
        <v>400000</v>
      </c>
      <c r="J47" s="13"/>
      <c r="K47" s="12">
        <f t="shared" si="7"/>
        <v>400000</v>
      </c>
      <c r="L47" s="63">
        <f t="shared" si="8"/>
        <v>1</v>
      </c>
    </row>
    <row r="48" spans="1:12" s="14" customFormat="1" ht="11.25">
      <c r="A48" s="45"/>
      <c r="B48" s="10" t="s">
        <v>42</v>
      </c>
      <c r="C48" s="13"/>
      <c r="D48" s="13">
        <v>1992500</v>
      </c>
      <c r="E48" s="12">
        <f t="shared" si="5"/>
        <v>1992500</v>
      </c>
      <c r="F48" s="13"/>
      <c r="G48" s="13">
        <v>1992500</v>
      </c>
      <c r="H48" s="12">
        <f t="shared" si="6"/>
        <v>1992500</v>
      </c>
      <c r="I48" s="13"/>
      <c r="J48" s="13">
        <v>2037500</v>
      </c>
      <c r="K48" s="12">
        <f t="shared" si="7"/>
        <v>2037500</v>
      </c>
      <c r="L48" s="63">
        <f t="shared" si="8"/>
        <v>1.0225846925972397</v>
      </c>
    </row>
    <row r="49" spans="1:12" s="14" customFormat="1" ht="22.5">
      <c r="A49" s="45"/>
      <c r="B49" s="15" t="s">
        <v>43</v>
      </c>
      <c r="C49" s="13">
        <f>2356+5282+1790</f>
        <v>9428</v>
      </c>
      <c r="D49" s="13">
        <v>900</v>
      </c>
      <c r="E49" s="12">
        <f t="shared" si="5"/>
        <v>10328</v>
      </c>
      <c r="F49" s="13">
        <f>2356+5282+1790</f>
        <v>9428</v>
      </c>
      <c r="G49" s="13">
        <v>900</v>
      </c>
      <c r="H49" s="12">
        <f t="shared" si="6"/>
        <v>10328</v>
      </c>
      <c r="I49" s="13">
        <f>1806+3644+2881</f>
        <v>8331</v>
      </c>
      <c r="J49" s="13">
        <f>1800</f>
        <v>1800</v>
      </c>
      <c r="K49" s="12">
        <f t="shared" si="7"/>
        <v>10131</v>
      </c>
      <c r="L49" s="63">
        <f t="shared" si="8"/>
        <v>0.9809256390395042</v>
      </c>
    </row>
    <row r="50" spans="1:12" s="14" customFormat="1" ht="11.25">
      <c r="A50" s="41"/>
      <c r="B50" s="15" t="s">
        <v>45</v>
      </c>
      <c r="C50" s="13">
        <v>10000</v>
      </c>
      <c r="D50" s="13"/>
      <c r="E50" s="12">
        <f t="shared" si="5"/>
        <v>10000</v>
      </c>
      <c r="F50" s="13">
        <v>10000</v>
      </c>
      <c r="G50" s="13"/>
      <c r="H50" s="12">
        <f t="shared" si="6"/>
        <v>10000</v>
      </c>
      <c r="I50" s="13">
        <v>10260</v>
      </c>
      <c r="J50" s="13"/>
      <c r="K50" s="12">
        <f t="shared" si="7"/>
        <v>10260</v>
      </c>
      <c r="L50" s="63">
        <f t="shared" si="8"/>
        <v>1.026</v>
      </c>
    </row>
    <row r="51" spans="1:12" s="1" customFormat="1" ht="11.25">
      <c r="A51" s="46"/>
      <c r="B51" s="25" t="s">
        <v>46</v>
      </c>
      <c r="C51" s="13">
        <v>100000</v>
      </c>
      <c r="D51" s="13"/>
      <c r="E51" s="12">
        <f t="shared" si="5"/>
        <v>100000</v>
      </c>
      <c r="F51" s="13">
        <v>100000</v>
      </c>
      <c r="G51" s="13"/>
      <c r="H51" s="12">
        <f t="shared" si="6"/>
        <v>100000</v>
      </c>
      <c r="I51" s="13">
        <v>500000</v>
      </c>
      <c r="J51" s="13"/>
      <c r="K51" s="12">
        <f t="shared" si="7"/>
        <v>500000</v>
      </c>
      <c r="L51" s="63">
        <f t="shared" si="8"/>
        <v>5</v>
      </c>
    </row>
    <row r="52" spans="1:12" s="14" customFormat="1" ht="11.25">
      <c r="A52" s="41"/>
      <c r="B52" s="15" t="s">
        <v>47</v>
      </c>
      <c r="C52" s="13">
        <f>SUM(C53:C54)</f>
        <v>339890</v>
      </c>
      <c r="D52" s="13">
        <f>SUM(D53:D54)</f>
        <v>38018</v>
      </c>
      <c r="E52" s="12">
        <f t="shared" si="5"/>
        <v>377908</v>
      </c>
      <c r="F52" s="13">
        <f>SUM(F53:F54)</f>
        <v>339890</v>
      </c>
      <c r="G52" s="13">
        <f>SUM(G53:G54)</f>
        <v>38018</v>
      </c>
      <c r="H52" s="12">
        <f t="shared" si="6"/>
        <v>377908</v>
      </c>
      <c r="I52" s="13">
        <f>SUM(I53:I54)</f>
        <v>225387</v>
      </c>
      <c r="J52" s="13">
        <f>SUM(J53:J54)</f>
        <v>35350</v>
      </c>
      <c r="K52" s="12">
        <f t="shared" si="7"/>
        <v>260737</v>
      </c>
      <c r="L52" s="63">
        <f t="shared" si="8"/>
        <v>0.6899483472167829</v>
      </c>
    </row>
    <row r="53" spans="1:12" s="19" customFormat="1" ht="11.25">
      <c r="A53" s="44"/>
      <c r="B53" s="16" t="s">
        <v>48</v>
      </c>
      <c r="C53" s="18">
        <v>300000</v>
      </c>
      <c r="D53" s="18"/>
      <c r="E53" s="17">
        <f t="shared" si="5"/>
        <v>300000</v>
      </c>
      <c r="F53" s="18">
        <v>300000</v>
      </c>
      <c r="G53" s="18"/>
      <c r="H53" s="17">
        <f t="shared" si="6"/>
        <v>300000</v>
      </c>
      <c r="I53" s="18">
        <v>180000</v>
      </c>
      <c r="J53" s="18"/>
      <c r="K53" s="17">
        <f t="shared" si="7"/>
        <v>180000</v>
      </c>
      <c r="L53" s="63">
        <f aca="true" t="shared" si="9" ref="L53:L63">K53/H53</f>
        <v>0.6</v>
      </c>
    </row>
    <row r="54" spans="1:12" s="19" customFormat="1" ht="11.25">
      <c r="A54" s="42"/>
      <c r="B54" s="16" t="s">
        <v>49</v>
      </c>
      <c r="C54" s="18">
        <f>34000+800+3808+1282</f>
        <v>39890</v>
      </c>
      <c r="D54" s="18">
        <f>1700+220+25150+901+2447+7600</f>
        <v>38018</v>
      </c>
      <c r="E54" s="17">
        <f t="shared" si="5"/>
        <v>77908</v>
      </c>
      <c r="F54" s="18">
        <f>34000+800+3808+1282</f>
        <v>39890</v>
      </c>
      <c r="G54" s="18">
        <f>1700+220+25150+901+2447+7600</f>
        <v>38018</v>
      </c>
      <c r="H54" s="17">
        <f t="shared" si="6"/>
        <v>77908</v>
      </c>
      <c r="I54" s="18">
        <f>350+33700+4230+1610+1200+450+3847</f>
        <v>45387</v>
      </c>
      <c r="J54" s="18">
        <f>33000+2000+350</f>
        <v>35350</v>
      </c>
      <c r="K54" s="17">
        <f t="shared" si="7"/>
        <v>80737</v>
      </c>
      <c r="L54" s="63">
        <f t="shared" si="9"/>
        <v>1.0363120603789084</v>
      </c>
    </row>
    <row r="55" spans="1:12" s="9" customFormat="1" ht="12">
      <c r="A55" s="21">
        <v>5</v>
      </c>
      <c r="B55" s="23" t="s">
        <v>108</v>
      </c>
      <c r="C55" s="7">
        <f>SUM(C56:C64)</f>
        <v>8645322</v>
      </c>
      <c r="D55" s="7">
        <f>SUM(D56:D64)</f>
        <v>829820</v>
      </c>
      <c r="E55" s="24">
        <f t="shared" si="5"/>
        <v>9475142</v>
      </c>
      <c r="F55" s="7">
        <f>SUM(F56:F64)</f>
        <v>8645322</v>
      </c>
      <c r="G55" s="7">
        <f>SUM(G56:G64)</f>
        <v>829820</v>
      </c>
      <c r="H55" s="24">
        <f t="shared" si="6"/>
        <v>9475142</v>
      </c>
      <c r="I55" s="7">
        <f>SUM(I56:I64)</f>
        <v>8702559</v>
      </c>
      <c r="J55" s="7">
        <f>SUM(J56:J64)</f>
        <v>870732</v>
      </c>
      <c r="K55" s="24">
        <f t="shared" si="7"/>
        <v>9573291</v>
      </c>
      <c r="L55" s="63">
        <f t="shared" si="9"/>
        <v>1.0103585782672175</v>
      </c>
    </row>
    <row r="56" spans="1:12" s="28" customFormat="1" ht="11.25">
      <c r="A56" s="46"/>
      <c r="B56" s="26" t="s">
        <v>50</v>
      </c>
      <c r="C56" s="13">
        <f>123312+15708</f>
        <v>139020</v>
      </c>
      <c r="D56" s="13"/>
      <c r="E56" s="12">
        <f t="shared" si="5"/>
        <v>139020</v>
      </c>
      <c r="F56" s="13">
        <f>123312+15708</f>
        <v>139020</v>
      </c>
      <c r="G56" s="13"/>
      <c r="H56" s="12">
        <f t="shared" si="6"/>
        <v>139020</v>
      </c>
      <c r="I56" s="13">
        <f>33012+182148</f>
        <v>215160</v>
      </c>
      <c r="J56" s="13"/>
      <c r="K56" s="12">
        <f t="shared" si="7"/>
        <v>215160</v>
      </c>
      <c r="L56" s="63">
        <f t="shared" si="9"/>
        <v>1.5476909797151488</v>
      </c>
    </row>
    <row r="57" spans="1:12" s="4" customFormat="1" ht="22.5">
      <c r="A57" s="46"/>
      <c r="B57" s="30" t="s">
        <v>51</v>
      </c>
      <c r="C57" s="65"/>
      <c r="D57" s="13">
        <v>403800</v>
      </c>
      <c r="E57" s="12">
        <f>SUM(D57:D57)</f>
        <v>403800</v>
      </c>
      <c r="F57" s="65"/>
      <c r="G57" s="13">
        <v>403800</v>
      </c>
      <c r="H57" s="12">
        <f>SUM(G57:G57)</f>
        <v>403800</v>
      </c>
      <c r="I57" s="65"/>
      <c r="J57" s="13">
        <v>403800</v>
      </c>
      <c r="K57" s="12">
        <f>SUM(J57:J57)</f>
        <v>403800</v>
      </c>
      <c r="L57" s="63">
        <f t="shared" si="9"/>
        <v>1</v>
      </c>
    </row>
    <row r="58" spans="1:12" s="4" customFormat="1" ht="11.25">
      <c r="A58" s="46"/>
      <c r="B58" s="30" t="s">
        <v>52</v>
      </c>
      <c r="C58" s="13"/>
      <c r="D58" s="13">
        <v>300000</v>
      </c>
      <c r="E58" s="12">
        <f aca="true" t="shared" si="10" ref="E58:E89">SUM(C58:D58)</f>
        <v>300000</v>
      </c>
      <c r="F58" s="13"/>
      <c r="G58" s="13">
        <v>300000</v>
      </c>
      <c r="H58" s="12">
        <f aca="true" t="shared" si="11" ref="H58:H70">SUM(F58:G58)</f>
        <v>300000</v>
      </c>
      <c r="I58" s="13"/>
      <c r="J58" s="13">
        <v>350000</v>
      </c>
      <c r="K58" s="12">
        <f aca="true" t="shared" si="12" ref="K58:K75">SUM(I58:J58)</f>
        <v>350000</v>
      </c>
      <c r="L58" s="63">
        <f t="shared" si="9"/>
        <v>1.1666666666666667</v>
      </c>
    </row>
    <row r="59" spans="1:12" s="4" customFormat="1" ht="33.75">
      <c r="A59" s="46"/>
      <c r="B59" s="30" t="s">
        <v>162</v>
      </c>
      <c r="C59" s="13"/>
      <c r="D59" s="13">
        <v>55000</v>
      </c>
      <c r="E59" s="12">
        <f t="shared" si="10"/>
        <v>55000</v>
      </c>
      <c r="F59" s="13"/>
      <c r="G59" s="13">
        <v>55000</v>
      </c>
      <c r="H59" s="12">
        <f t="shared" si="11"/>
        <v>55000</v>
      </c>
      <c r="I59" s="13"/>
      <c r="J59" s="13">
        <v>62000</v>
      </c>
      <c r="K59" s="12">
        <f t="shared" si="12"/>
        <v>62000</v>
      </c>
      <c r="L59" s="63">
        <f t="shared" si="9"/>
        <v>1.1272727272727272</v>
      </c>
    </row>
    <row r="60" spans="1:12" s="4" customFormat="1" ht="11.25">
      <c r="A60" s="46"/>
      <c r="B60" s="30" t="s">
        <v>6</v>
      </c>
      <c r="C60" s="13"/>
      <c r="D60" s="13"/>
      <c r="E60" s="12">
        <f t="shared" si="10"/>
        <v>0</v>
      </c>
      <c r="F60" s="13"/>
      <c r="G60" s="13"/>
      <c r="H60" s="12">
        <f t="shared" si="11"/>
        <v>0</v>
      </c>
      <c r="I60" s="13"/>
      <c r="J60" s="13">
        <v>4932</v>
      </c>
      <c r="K60" s="12">
        <f t="shared" si="12"/>
        <v>4932</v>
      </c>
      <c r="L60" s="63"/>
    </row>
    <row r="61" spans="1:12" s="4" customFormat="1" ht="11.25">
      <c r="A61" s="46"/>
      <c r="B61" s="30" t="s">
        <v>53</v>
      </c>
      <c r="C61" s="64"/>
      <c r="D61" s="13">
        <v>71020</v>
      </c>
      <c r="E61" s="12">
        <f t="shared" si="10"/>
        <v>71020</v>
      </c>
      <c r="F61" s="64"/>
      <c r="G61" s="13">
        <v>71020</v>
      </c>
      <c r="H61" s="12">
        <f t="shared" si="11"/>
        <v>71020</v>
      </c>
      <c r="I61" s="64"/>
      <c r="J61" s="13">
        <v>50000</v>
      </c>
      <c r="K61" s="12">
        <f t="shared" si="12"/>
        <v>50000</v>
      </c>
      <c r="L61" s="63">
        <f t="shared" si="9"/>
        <v>0.7040270346381301</v>
      </c>
    </row>
    <row r="62" spans="1:12" s="14" customFormat="1" ht="22.5">
      <c r="A62" s="45"/>
      <c r="B62" s="10" t="s">
        <v>54</v>
      </c>
      <c r="C62" s="13">
        <v>7687627</v>
      </c>
      <c r="D62" s="13"/>
      <c r="E62" s="12">
        <f t="shared" si="10"/>
        <v>7687627</v>
      </c>
      <c r="F62" s="13">
        <f>6563929+1123698</f>
        <v>7687627</v>
      </c>
      <c r="G62" s="13"/>
      <c r="H62" s="12">
        <f t="shared" si="11"/>
        <v>7687627</v>
      </c>
      <c r="I62" s="13">
        <v>7743627</v>
      </c>
      <c r="J62" s="13"/>
      <c r="K62" s="12">
        <f t="shared" si="12"/>
        <v>7743627</v>
      </c>
      <c r="L62" s="63">
        <f t="shared" si="9"/>
        <v>1.0072844325043346</v>
      </c>
    </row>
    <row r="63" spans="1:12" s="4" customFormat="1" ht="45">
      <c r="A63" s="46"/>
      <c r="B63" s="30" t="s">
        <v>171</v>
      </c>
      <c r="C63" s="27">
        <v>150000</v>
      </c>
      <c r="D63" s="27"/>
      <c r="E63" s="12">
        <f t="shared" si="10"/>
        <v>150000</v>
      </c>
      <c r="F63" s="27">
        <v>150000</v>
      </c>
      <c r="G63" s="27"/>
      <c r="H63" s="12">
        <f t="shared" si="11"/>
        <v>150000</v>
      </c>
      <c r="I63" s="27"/>
      <c r="J63" s="27"/>
      <c r="K63" s="12">
        <f t="shared" si="12"/>
        <v>0</v>
      </c>
      <c r="L63" s="63">
        <f t="shared" si="9"/>
        <v>0</v>
      </c>
    </row>
    <row r="64" spans="1:12" s="14" customFormat="1" ht="22.5">
      <c r="A64" s="45"/>
      <c r="B64" s="10" t="s">
        <v>116</v>
      </c>
      <c r="C64" s="13">
        <v>668675</v>
      </c>
      <c r="D64" s="13"/>
      <c r="E64" s="12">
        <f t="shared" si="10"/>
        <v>668675</v>
      </c>
      <c r="F64" s="13">
        <v>668675</v>
      </c>
      <c r="G64" s="13"/>
      <c r="H64" s="12">
        <f t="shared" si="11"/>
        <v>668675</v>
      </c>
      <c r="I64" s="13">
        <f>297509+446263</f>
        <v>743772</v>
      </c>
      <c r="J64" s="13"/>
      <c r="K64" s="12">
        <f t="shared" si="12"/>
        <v>743772</v>
      </c>
      <c r="L64" s="63">
        <f aca="true" t="shared" si="13" ref="L64:L76">K64/H64</f>
        <v>1.1123071746364077</v>
      </c>
    </row>
    <row r="65" spans="1:12" s="9" customFormat="1" ht="24">
      <c r="A65" s="21">
        <v>6</v>
      </c>
      <c r="B65" s="23" t="s">
        <v>55</v>
      </c>
      <c r="C65" s="7">
        <f>SUM(C66:C78)</f>
        <v>1175180</v>
      </c>
      <c r="D65" s="7">
        <f>SUM(D66:D78)</f>
        <v>318512</v>
      </c>
      <c r="E65" s="24">
        <f t="shared" si="10"/>
        <v>1493692</v>
      </c>
      <c r="F65" s="7">
        <f>SUM(F66:F78)</f>
        <v>1175180</v>
      </c>
      <c r="G65" s="7">
        <f>SUM(G66:G78)</f>
        <v>318512</v>
      </c>
      <c r="H65" s="24">
        <f t="shared" si="11"/>
        <v>1493692</v>
      </c>
      <c r="I65" s="7">
        <f>SUM(I66:I78)</f>
        <v>117593</v>
      </c>
      <c r="J65" s="7">
        <f>SUM(J66:J78)</f>
        <v>561300</v>
      </c>
      <c r="K65" s="24">
        <f t="shared" si="12"/>
        <v>678893</v>
      </c>
      <c r="L65" s="63">
        <f t="shared" si="13"/>
        <v>0.4545066854478701</v>
      </c>
    </row>
    <row r="66" spans="1:12" s="4" customFormat="1" ht="22.5">
      <c r="A66" s="46"/>
      <c r="B66" s="30" t="s">
        <v>83</v>
      </c>
      <c r="C66" s="13"/>
      <c r="D66" s="13">
        <f>242000+400</f>
        <v>242400</v>
      </c>
      <c r="E66" s="12">
        <f t="shared" si="10"/>
        <v>242400</v>
      </c>
      <c r="F66" s="13"/>
      <c r="G66" s="13">
        <f>242000+400</f>
        <v>242400</v>
      </c>
      <c r="H66" s="12">
        <f t="shared" si="11"/>
        <v>242400</v>
      </c>
      <c r="I66" s="13"/>
      <c r="J66" s="13">
        <v>561300</v>
      </c>
      <c r="K66" s="12">
        <f t="shared" si="12"/>
        <v>561300</v>
      </c>
      <c r="L66" s="63">
        <f t="shared" si="13"/>
        <v>2.3155940594059405</v>
      </c>
    </row>
    <row r="67" spans="1:12" s="4" customFormat="1" ht="11.25">
      <c r="A67" s="46"/>
      <c r="B67" s="10" t="s">
        <v>119</v>
      </c>
      <c r="C67" s="13">
        <f>11174+366446</f>
        <v>377620</v>
      </c>
      <c r="D67" s="13"/>
      <c r="E67" s="12">
        <f t="shared" si="10"/>
        <v>377620</v>
      </c>
      <c r="F67" s="13">
        <f>11174+366446</f>
        <v>377620</v>
      </c>
      <c r="G67" s="13"/>
      <c r="H67" s="12">
        <f t="shared" si="11"/>
        <v>377620</v>
      </c>
      <c r="I67" s="13"/>
      <c r="J67" s="13"/>
      <c r="K67" s="12">
        <f t="shared" si="12"/>
        <v>0</v>
      </c>
      <c r="L67" s="63">
        <f t="shared" si="13"/>
        <v>0</v>
      </c>
    </row>
    <row r="68" spans="1:12" s="4" customFormat="1" ht="11.25">
      <c r="A68" s="46"/>
      <c r="B68" s="10" t="s">
        <v>147</v>
      </c>
      <c r="C68" s="13">
        <f>302383-3578</f>
        <v>298805</v>
      </c>
      <c r="D68" s="13"/>
      <c r="E68" s="12">
        <f t="shared" si="10"/>
        <v>298805</v>
      </c>
      <c r="F68" s="13">
        <f>302383-3578</f>
        <v>298805</v>
      </c>
      <c r="G68" s="13"/>
      <c r="H68" s="12">
        <f t="shared" si="11"/>
        <v>298805</v>
      </c>
      <c r="I68" s="13">
        <v>56393</v>
      </c>
      <c r="J68" s="13"/>
      <c r="K68" s="12">
        <f t="shared" si="12"/>
        <v>56393</v>
      </c>
      <c r="L68" s="63">
        <f t="shared" si="13"/>
        <v>0.18872843493248104</v>
      </c>
    </row>
    <row r="69" spans="1:12" s="4" customFormat="1" ht="22.5">
      <c r="A69" s="46"/>
      <c r="B69" s="10" t="s">
        <v>155</v>
      </c>
      <c r="C69" s="13">
        <v>23629</v>
      </c>
      <c r="D69" s="13"/>
      <c r="E69" s="12">
        <f t="shared" si="10"/>
        <v>23629</v>
      </c>
      <c r="F69" s="13">
        <v>23629</v>
      </c>
      <c r="G69" s="13"/>
      <c r="H69" s="12">
        <f t="shared" si="11"/>
        <v>23629</v>
      </c>
      <c r="I69" s="13"/>
      <c r="J69" s="13"/>
      <c r="K69" s="12">
        <f t="shared" si="12"/>
        <v>0</v>
      </c>
      <c r="L69" s="63">
        <f t="shared" si="13"/>
        <v>0</v>
      </c>
    </row>
    <row r="70" spans="1:12" s="4" customFormat="1" ht="33.75">
      <c r="A70" s="46"/>
      <c r="B70" s="10" t="s">
        <v>148</v>
      </c>
      <c r="C70" s="13">
        <v>40000</v>
      </c>
      <c r="D70" s="13"/>
      <c r="E70" s="12">
        <f t="shared" si="10"/>
        <v>40000</v>
      </c>
      <c r="F70" s="13">
        <v>40000</v>
      </c>
      <c r="G70" s="13"/>
      <c r="H70" s="12">
        <f t="shared" si="11"/>
        <v>40000</v>
      </c>
      <c r="I70" s="13"/>
      <c r="J70" s="13"/>
      <c r="K70" s="12">
        <f t="shared" si="12"/>
        <v>0</v>
      </c>
      <c r="L70" s="63">
        <f t="shared" si="13"/>
        <v>0</v>
      </c>
    </row>
    <row r="71" spans="1:12" s="4" customFormat="1" ht="22.5">
      <c r="A71" s="46"/>
      <c r="B71" s="30" t="s">
        <v>161</v>
      </c>
      <c r="C71" s="13">
        <v>37827</v>
      </c>
      <c r="D71" s="13"/>
      <c r="E71" s="12">
        <f t="shared" si="10"/>
        <v>37827</v>
      </c>
      <c r="F71" s="13">
        <v>37827</v>
      </c>
      <c r="G71" s="13"/>
      <c r="H71" s="12">
        <f aca="true" t="shared" si="14" ref="H71:H79">SUM(F71:G71)</f>
        <v>37827</v>
      </c>
      <c r="I71" s="13"/>
      <c r="J71" s="13"/>
      <c r="K71" s="12">
        <f t="shared" si="12"/>
        <v>0</v>
      </c>
      <c r="L71" s="63">
        <f t="shared" si="13"/>
        <v>0</v>
      </c>
    </row>
    <row r="72" spans="1:12" ht="22.5">
      <c r="A72" s="95"/>
      <c r="B72" s="10" t="s">
        <v>2</v>
      </c>
      <c r="C72" s="13">
        <v>152800</v>
      </c>
      <c r="D72" s="78"/>
      <c r="E72" s="12">
        <f t="shared" si="10"/>
        <v>152800</v>
      </c>
      <c r="F72" s="78">
        <f>217800-65000</f>
        <v>152800</v>
      </c>
      <c r="G72" s="78"/>
      <c r="H72" s="12">
        <f t="shared" si="14"/>
        <v>152800</v>
      </c>
      <c r="I72" s="13">
        <v>61200</v>
      </c>
      <c r="J72" s="78"/>
      <c r="K72" s="12">
        <f t="shared" si="12"/>
        <v>61200</v>
      </c>
      <c r="L72" s="63">
        <f t="shared" si="13"/>
        <v>0.4005235602094241</v>
      </c>
    </row>
    <row r="73" spans="1:12" s="4" customFormat="1" ht="33.75">
      <c r="A73" s="46"/>
      <c r="B73" s="10" t="s">
        <v>115</v>
      </c>
      <c r="C73" s="13">
        <v>5716</v>
      </c>
      <c r="D73" s="13"/>
      <c r="E73" s="12">
        <f t="shared" si="10"/>
        <v>5716</v>
      </c>
      <c r="F73" s="13">
        <v>5716</v>
      </c>
      <c r="G73" s="13"/>
      <c r="H73" s="12">
        <f t="shared" si="14"/>
        <v>5716</v>
      </c>
      <c r="I73" s="13"/>
      <c r="J73" s="13"/>
      <c r="K73" s="12">
        <f t="shared" si="12"/>
        <v>0</v>
      </c>
      <c r="L73" s="63">
        <f t="shared" si="13"/>
        <v>0</v>
      </c>
    </row>
    <row r="74" spans="1:12" s="4" customFormat="1" ht="11.25">
      <c r="A74" s="46"/>
      <c r="B74" s="10" t="s">
        <v>130</v>
      </c>
      <c r="C74" s="13">
        <v>20000</v>
      </c>
      <c r="D74" s="13"/>
      <c r="E74" s="12">
        <f t="shared" si="10"/>
        <v>20000</v>
      </c>
      <c r="F74" s="13">
        <v>20000</v>
      </c>
      <c r="G74" s="13"/>
      <c r="H74" s="12">
        <f t="shared" si="14"/>
        <v>20000</v>
      </c>
      <c r="I74" s="13"/>
      <c r="J74" s="13"/>
      <c r="K74" s="12">
        <f t="shared" si="12"/>
        <v>0</v>
      </c>
      <c r="L74" s="63">
        <f t="shared" si="13"/>
        <v>0</v>
      </c>
    </row>
    <row r="75" spans="1:12" s="4" customFormat="1" ht="22.5">
      <c r="A75" s="46"/>
      <c r="B75" s="10" t="s">
        <v>131</v>
      </c>
      <c r="C75" s="13">
        <v>20000</v>
      </c>
      <c r="D75" s="13"/>
      <c r="E75" s="12">
        <f t="shared" si="10"/>
        <v>20000</v>
      </c>
      <c r="F75" s="13">
        <v>20000</v>
      </c>
      <c r="G75" s="13"/>
      <c r="H75" s="12">
        <f t="shared" si="14"/>
        <v>20000</v>
      </c>
      <c r="I75" s="13"/>
      <c r="J75" s="13"/>
      <c r="K75" s="12">
        <f t="shared" si="12"/>
        <v>0</v>
      </c>
      <c r="L75" s="63">
        <f t="shared" si="13"/>
        <v>0</v>
      </c>
    </row>
    <row r="76" spans="1:12" s="4" customFormat="1" ht="11.25">
      <c r="A76" s="46"/>
      <c r="B76" s="10" t="s">
        <v>133</v>
      </c>
      <c r="C76" s="13">
        <v>31442</v>
      </c>
      <c r="D76" s="13"/>
      <c r="E76" s="12">
        <f t="shared" si="10"/>
        <v>31442</v>
      </c>
      <c r="F76" s="13">
        <v>31442</v>
      </c>
      <c r="G76" s="13"/>
      <c r="H76" s="12">
        <f t="shared" si="14"/>
        <v>31442</v>
      </c>
      <c r="I76" s="13"/>
      <c r="J76" s="13"/>
      <c r="K76" s="12"/>
      <c r="L76" s="63">
        <f t="shared" si="13"/>
        <v>0</v>
      </c>
    </row>
    <row r="77" spans="1:12" s="4" customFormat="1" ht="11.25">
      <c r="A77" s="46"/>
      <c r="B77" s="10" t="s">
        <v>91</v>
      </c>
      <c r="C77" s="13">
        <v>6100</v>
      </c>
      <c r="D77" s="27"/>
      <c r="E77" s="12">
        <f t="shared" si="10"/>
        <v>6100</v>
      </c>
      <c r="F77" s="13">
        <v>6100</v>
      </c>
      <c r="G77" s="27"/>
      <c r="H77" s="12">
        <f t="shared" si="14"/>
        <v>6100</v>
      </c>
      <c r="I77" s="13"/>
      <c r="J77" s="27"/>
      <c r="K77" s="12">
        <f>SUM(I77:J77)</f>
        <v>0</v>
      </c>
      <c r="L77" s="63">
        <f aca="true" t="shared" si="15" ref="L77:L82">K77/H77</f>
        <v>0</v>
      </c>
    </row>
    <row r="78" spans="1:12" s="4" customFormat="1" ht="33.75">
      <c r="A78" s="46"/>
      <c r="B78" s="30" t="s">
        <v>104</v>
      </c>
      <c r="C78" s="13">
        <f>80164+81077</f>
        <v>161241</v>
      </c>
      <c r="D78" s="13">
        <f>78012-1900</f>
        <v>76112</v>
      </c>
      <c r="E78" s="12">
        <f t="shared" si="10"/>
        <v>237353</v>
      </c>
      <c r="F78" s="13">
        <f>80164+81077</f>
        <v>161241</v>
      </c>
      <c r="G78" s="13">
        <f>78012-1900</f>
        <v>76112</v>
      </c>
      <c r="H78" s="12">
        <f t="shared" si="14"/>
        <v>237353</v>
      </c>
      <c r="I78" s="13"/>
      <c r="J78" s="13"/>
      <c r="K78" s="12">
        <f>SUM(I78:J78)</f>
        <v>0</v>
      </c>
      <c r="L78" s="63">
        <f t="shared" si="15"/>
        <v>0</v>
      </c>
    </row>
    <row r="79" spans="1:12" s="9" customFormat="1" ht="12">
      <c r="A79" s="21">
        <v>7</v>
      </c>
      <c r="B79" s="23" t="s">
        <v>57</v>
      </c>
      <c r="C79" s="24">
        <f>SUM(C80:C100)</f>
        <v>8216459</v>
      </c>
      <c r="D79" s="24">
        <f>SUM(D80:D100)</f>
        <v>432019</v>
      </c>
      <c r="E79" s="24">
        <f t="shared" si="10"/>
        <v>8648478</v>
      </c>
      <c r="F79" s="24">
        <f>SUM(F80:F100)</f>
        <v>8216459</v>
      </c>
      <c r="G79" s="24">
        <f>SUM(G80:G100)</f>
        <v>432019</v>
      </c>
      <c r="H79" s="24">
        <f t="shared" si="14"/>
        <v>8648478</v>
      </c>
      <c r="I79" s="24">
        <f>SUM(I80:I100)</f>
        <v>3183663</v>
      </c>
      <c r="J79" s="24">
        <f>SUM(J80:J100)</f>
        <v>0</v>
      </c>
      <c r="K79" s="24">
        <f>SUM(I79:J79)</f>
        <v>3183663</v>
      </c>
      <c r="L79" s="63">
        <f t="shared" si="15"/>
        <v>0.36811829780916366</v>
      </c>
    </row>
    <row r="80" spans="1:12" s="2" customFormat="1" ht="11.25">
      <c r="A80" s="46"/>
      <c r="B80" s="10" t="s">
        <v>119</v>
      </c>
      <c r="C80" s="13">
        <f>474540+3778711</f>
        <v>4253251</v>
      </c>
      <c r="D80" s="13"/>
      <c r="E80" s="12">
        <f t="shared" si="10"/>
        <v>4253251</v>
      </c>
      <c r="F80" s="13">
        <f>474540+3778711</f>
        <v>4253251</v>
      </c>
      <c r="G80" s="13"/>
      <c r="H80" s="12">
        <f aca="true" t="shared" si="16" ref="H80:H87">SUM(F80:G80)</f>
        <v>4253251</v>
      </c>
      <c r="I80" s="13"/>
      <c r="J80" s="13"/>
      <c r="K80" s="12">
        <f>SUM(I80:J80)</f>
        <v>0</v>
      </c>
      <c r="L80" s="63">
        <f t="shared" si="15"/>
        <v>0</v>
      </c>
    </row>
    <row r="81" spans="1:12" s="14" customFormat="1" ht="22.5">
      <c r="A81" s="45"/>
      <c r="B81" s="10" t="s">
        <v>136</v>
      </c>
      <c r="C81" s="13">
        <f>8368+19347+15887+15812+15888+113252-51122+66149</f>
        <v>203581</v>
      </c>
      <c r="D81" s="11">
        <f>16735+62400</f>
        <v>79135</v>
      </c>
      <c r="E81" s="12">
        <f t="shared" si="10"/>
        <v>282716</v>
      </c>
      <c r="F81" s="13">
        <f>8368+19347+15887+15812+15888+113252-51122+66149</f>
        <v>203581</v>
      </c>
      <c r="G81" s="11">
        <f>16735+62400</f>
        <v>79135</v>
      </c>
      <c r="H81" s="12">
        <f t="shared" si="16"/>
        <v>282716</v>
      </c>
      <c r="I81" s="13">
        <f>11959+19135</f>
        <v>31094</v>
      </c>
      <c r="J81" s="11"/>
      <c r="K81" s="12">
        <f aca="true" t="shared" si="17" ref="K81:K93">SUM(I81:J81)</f>
        <v>31094</v>
      </c>
      <c r="L81" s="63">
        <f t="shared" si="15"/>
        <v>0.1099831633158364</v>
      </c>
    </row>
    <row r="82" spans="1:12" s="2" customFormat="1" ht="11.25">
      <c r="A82" s="46"/>
      <c r="B82" s="25" t="s">
        <v>145</v>
      </c>
      <c r="C82" s="13"/>
      <c r="D82" s="27">
        <v>223015</v>
      </c>
      <c r="E82" s="12">
        <f t="shared" si="10"/>
        <v>223015</v>
      </c>
      <c r="F82" s="13"/>
      <c r="G82" s="27">
        <v>223015</v>
      </c>
      <c r="H82" s="12">
        <f t="shared" si="16"/>
        <v>223015</v>
      </c>
      <c r="I82" s="13"/>
      <c r="J82" s="27"/>
      <c r="K82" s="12">
        <f t="shared" si="17"/>
        <v>0</v>
      </c>
      <c r="L82" s="63">
        <f t="shared" si="15"/>
        <v>0</v>
      </c>
    </row>
    <row r="83" spans="1:12" s="2" customFormat="1" ht="11.25">
      <c r="A83" s="46"/>
      <c r="B83" s="10" t="s">
        <v>3</v>
      </c>
      <c r="C83" s="13"/>
      <c r="D83" s="27"/>
      <c r="E83" s="12">
        <f t="shared" si="10"/>
        <v>0</v>
      </c>
      <c r="F83" s="13"/>
      <c r="G83" s="27"/>
      <c r="H83" s="12">
        <f t="shared" si="16"/>
        <v>0</v>
      </c>
      <c r="I83" s="13">
        <f>338955+822362</f>
        <v>1161317</v>
      </c>
      <c r="J83" s="27"/>
      <c r="K83" s="12">
        <f t="shared" si="17"/>
        <v>1161317</v>
      </c>
      <c r="L83" s="63">
        <f>K82/H82</f>
        <v>0</v>
      </c>
    </row>
    <row r="84" spans="1:12" s="2" customFormat="1" ht="22.5">
      <c r="A84" s="46"/>
      <c r="B84" s="10" t="s">
        <v>144</v>
      </c>
      <c r="C84" s="13">
        <v>33663</v>
      </c>
      <c r="D84" s="27"/>
      <c r="E84" s="12">
        <f t="shared" si="10"/>
        <v>33663</v>
      </c>
      <c r="F84" s="13">
        <v>33663</v>
      </c>
      <c r="G84" s="27"/>
      <c r="H84" s="12">
        <f t="shared" si="16"/>
        <v>33663</v>
      </c>
      <c r="I84" s="13"/>
      <c r="J84" s="27"/>
      <c r="K84" s="12">
        <f t="shared" si="17"/>
        <v>0</v>
      </c>
      <c r="L84" s="63">
        <f aca="true" t="shared" si="18" ref="L84:L105">K84/H84</f>
        <v>0</v>
      </c>
    </row>
    <row r="85" spans="1:12" s="4" customFormat="1" ht="11.25">
      <c r="A85" s="46"/>
      <c r="B85" s="10" t="s">
        <v>154</v>
      </c>
      <c r="C85" s="13">
        <v>138803</v>
      </c>
      <c r="D85" s="13"/>
      <c r="E85" s="12">
        <f t="shared" si="10"/>
        <v>138803</v>
      </c>
      <c r="F85" s="13">
        <v>138803</v>
      </c>
      <c r="G85" s="13"/>
      <c r="H85" s="12">
        <f t="shared" si="16"/>
        <v>138803</v>
      </c>
      <c r="I85" s="13">
        <v>277606</v>
      </c>
      <c r="J85" s="13"/>
      <c r="K85" s="12">
        <f t="shared" si="17"/>
        <v>277606</v>
      </c>
      <c r="L85" s="63">
        <f t="shared" si="18"/>
        <v>2</v>
      </c>
    </row>
    <row r="86" spans="1:12" s="2" customFormat="1" ht="11.25">
      <c r="A86" s="46"/>
      <c r="B86" s="10" t="s">
        <v>147</v>
      </c>
      <c r="C86" s="13">
        <f>1713504-20278</f>
        <v>1693226</v>
      </c>
      <c r="D86" s="27"/>
      <c r="E86" s="12">
        <f t="shared" si="10"/>
        <v>1693226</v>
      </c>
      <c r="F86" s="13">
        <f>1713504-20278</f>
        <v>1693226</v>
      </c>
      <c r="G86" s="27"/>
      <c r="H86" s="12">
        <f t="shared" si="16"/>
        <v>1693226</v>
      </c>
      <c r="I86" s="13">
        <v>319561</v>
      </c>
      <c r="J86" s="27"/>
      <c r="K86" s="12">
        <f t="shared" si="17"/>
        <v>319561</v>
      </c>
      <c r="L86" s="63">
        <f t="shared" si="18"/>
        <v>0.18872908873357722</v>
      </c>
    </row>
    <row r="87" spans="1:12" s="2" customFormat="1" ht="11.25">
      <c r="A87" s="46"/>
      <c r="B87" s="10" t="s">
        <v>165</v>
      </c>
      <c r="C87" s="13">
        <v>83441</v>
      </c>
      <c r="D87" s="27"/>
      <c r="E87" s="12">
        <f t="shared" si="10"/>
        <v>83441</v>
      </c>
      <c r="F87" s="13">
        <v>83441</v>
      </c>
      <c r="G87" s="27"/>
      <c r="H87" s="12">
        <f t="shared" si="16"/>
        <v>83441</v>
      </c>
      <c r="I87" s="13"/>
      <c r="J87" s="27"/>
      <c r="K87" s="12">
        <f t="shared" si="17"/>
        <v>0</v>
      </c>
      <c r="L87" s="63">
        <f t="shared" si="18"/>
        <v>0</v>
      </c>
    </row>
    <row r="88" spans="1:12" s="2" customFormat="1" ht="11.25">
      <c r="A88" s="46"/>
      <c r="B88" s="10" t="s">
        <v>133</v>
      </c>
      <c r="C88" s="13"/>
      <c r="D88" s="27"/>
      <c r="E88" s="12">
        <f t="shared" si="10"/>
        <v>0</v>
      </c>
      <c r="F88" s="13"/>
      <c r="G88" s="27"/>
      <c r="H88" s="12"/>
      <c r="I88" s="13">
        <v>75408</v>
      </c>
      <c r="J88" s="27"/>
      <c r="K88" s="12">
        <f t="shared" si="17"/>
        <v>75408</v>
      </c>
      <c r="L88" s="63"/>
    </row>
    <row r="89" spans="1:12" s="2" customFormat="1" ht="11.25">
      <c r="A89" s="46"/>
      <c r="B89" s="10" t="s">
        <v>129</v>
      </c>
      <c r="C89" s="13"/>
      <c r="D89" s="27"/>
      <c r="E89" s="12">
        <f t="shared" si="10"/>
        <v>0</v>
      </c>
      <c r="F89" s="13"/>
      <c r="G89" s="27"/>
      <c r="H89" s="12"/>
      <c r="I89" s="13">
        <f>63750</f>
        <v>63750</v>
      </c>
      <c r="J89" s="27"/>
      <c r="K89" s="12">
        <f t="shared" si="17"/>
        <v>63750</v>
      </c>
      <c r="L89" s="63"/>
    </row>
    <row r="90" spans="1:12" s="2" customFormat="1" ht="11.25">
      <c r="A90" s="46"/>
      <c r="B90" s="10" t="s">
        <v>168</v>
      </c>
      <c r="C90" s="13"/>
      <c r="D90" s="27"/>
      <c r="E90" s="12">
        <f aca="true" t="shared" si="19" ref="E90:E121">SUM(C90:D90)</f>
        <v>0</v>
      </c>
      <c r="F90" s="13"/>
      <c r="G90" s="27"/>
      <c r="H90" s="12"/>
      <c r="I90" s="13">
        <v>170000</v>
      </c>
      <c r="J90" s="27"/>
      <c r="K90" s="12">
        <f t="shared" si="17"/>
        <v>170000</v>
      </c>
      <c r="L90" s="63"/>
    </row>
    <row r="91" spans="1:12" s="2" customFormat="1" ht="22.5">
      <c r="A91" s="46"/>
      <c r="B91" s="10" t="s">
        <v>166</v>
      </c>
      <c r="C91" s="13"/>
      <c r="D91" s="27">
        <v>1348</v>
      </c>
      <c r="E91" s="12">
        <f t="shared" si="19"/>
        <v>1348</v>
      </c>
      <c r="F91" s="13"/>
      <c r="G91" s="27">
        <v>1348</v>
      </c>
      <c r="H91" s="12">
        <f aca="true" t="shared" si="20" ref="H91:H110">SUM(F91:G91)</f>
        <v>1348</v>
      </c>
      <c r="I91" s="13"/>
      <c r="J91" s="27"/>
      <c r="K91" s="12">
        <f t="shared" si="17"/>
        <v>0</v>
      </c>
      <c r="L91" s="63">
        <f t="shared" si="18"/>
        <v>0</v>
      </c>
    </row>
    <row r="92" spans="1:12" s="2" customFormat="1" ht="11.25">
      <c r="A92" s="46"/>
      <c r="B92" s="10" t="s">
        <v>167</v>
      </c>
      <c r="C92" s="13">
        <v>91853</v>
      </c>
      <c r="D92" s="27"/>
      <c r="E92" s="12">
        <f t="shared" si="19"/>
        <v>91853</v>
      </c>
      <c r="F92" s="13">
        <v>91853</v>
      </c>
      <c r="G92" s="27"/>
      <c r="H92" s="12">
        <f t="shared" si="20"/>
        <v>91853</v>
      </c>
      <c r="I92" s="13"/>
      <c r="J92" s="27"/>
      <c r="K92" s="12">
        <f t="shared" si="17"/>
        <v>0</v>
      </c>
      <c r="L92" s="63">
        <f t="shared" si="18"/>
        <v>0</v>
      </c>
    </row>
    <row r="93" spans="1:12" s="2" customFormat="1" ht="11.25">
      <c r="A93" s="46"/>
      <c r="B93" s="30" t="s">
        <v>143</v>
      </c>
      <c r="C93" s="13"/>
      <c r="D93" s="27">
        <v>128521</v>
      </c>
      <c r="E93" s="12">
        <f t="shared" si="19"/>
        <v>128521</v>
      </c>
      <c r="F93" s="13"/>
      <c r="G93" s="27">
        <v>128521</v>
      </c>
      <c r="H93" s="12">
        <f t="shared" si="20"/>
        <v>128521</v>
      </c>
      <c r="I93" s="13"/>
      <c r="J93" s="27"/>
      <c r="K93" s="12">
        <f t="shared" si="17"/>
        <v>0</v>
      </c>
      <c r="L93" s="63">
        <f t="shared" si="18"/>
        <v>0</v>
      </c>
    </row>
    <row r="94" spans="1:12" s="4" customFormat="1" ht="22.5">
      <c r="A94" s="46"/>
      <c r="B94" s="10" t="s">
        <v>149</v>
      </c>
      <c r="C94" s="13">
        <v>355383</v>
      </c>
      <c r="D94" s="13"/>
      <c r="E94" s="12">
        <f t="shared" si="19"/>
        <v>355383</v>
      </c>
      <c r="F94" s="13">
        <v>355383</v>
      </c>
      <c r="G94" s="13"/>
      <c r="H94" s="12">
        <f t="shared" si="20"/>
        <v>355383</v>
      </c>
      <c r="I94" s="13">
        <v>99617</v>
      </c>
      <c r="J94" s="13"/>
      <c r="K94" s="12">
        <f aca="true" t="shared" si="21" ref="K94:K116">SUM(I94:J94)</f>
        <v>99617</v>
      </c>
      <c r="L94" s="63">
        <f t="shared" si="18"/>
        <v>0.28030884988871163</v>
      </c>
    </row>
    <row r="95" spans="1:12" s="2" customFormat="1" ht="22.5">
      <c r="A95" s="46"/>
      <c r="B95" s="10" t="s">
        <v>124</v>
      </c>
      <c r="C95" s="13">
        <v>138947</v>
      </c>
      <c r="D95" s="27"/>
      <c r="E95" s="12">
        <f t="shared" si="19"/>
        <v>138947</v>
      </c>
      <c r="F95" s="13">
        <v>138947</v>
      </c>
      <c r="G95" s="27"/>
      <c r="H95" s="12">
        <f t="shared" si="20"/>
        <v>138947</v>
      </c>
      <c r="I95" s="13">
        <v>78136</v>
      </c>
      <c r="J95" s="27"/>
      <c r="K95" s="12">
        <f t="shared" si="21"/>
        <v>78136</v>
      </c>
      <c r="L95" s="63">
        <f t="shared" si="18"/>
        <v>0.562343915305836</v>
      </c>
    </row>
    <row r="96" spans="1:12" s="2" customFormat="1" ht="22.5">
      <c r="A96" s="46"/>
      <c r="B96" s="10" t="s">
        <v>125</v>
      </c>
      <c r="C96" s="13">
        <v>228913</v>
      </c>
      <c r="D96" s="27"/>
      <c r="E96" s="12">
        <f t="shared" si="19"/>
        <v>228913</v>
      </c>
      <c r="F96" s="13">
        <v>228913</v>
      </c>
      <c r="G96" s="27"/>
      <c r="H96" s="12">
        <f t="shared" si="20"/>
        <v>228913</v>
      </c>
      <c r="I96" s="13">
        <v>227057</v>
      </c>
      <c r="J96" s="27"/>
      <c r="K96" s="12">
        <f t="shared" si="21"/>
        <v>227057</v>
      </c>
      <c r="L96" s="63">
        <f t="shared" si="18"/>
        <v>0.9918921162188254</v>
      </c>
    </row>
    <row r="97" spans="1:12" s="2" customFormat="1" ht="11.25">
      <c r="A97" s="46"/>
      <c r="B97" s="10" t="s">
        <v>126</v>
      </c>
      <c r="C97" s="13">
        <v>390034</v>
      </c>
      <c r="D97" s="27"/>
      <c r="E97" s="12">
        <f t="shared" si="19"/>
        <v>390034</v>
      </c>
      <c r="F97" s="13">
        <v>390034</v>
      </c>
      <c r="G97" s="27"/>
      <c r="H97" s="12">
        <f t="shared" si="20"/>
        <v>390034</v>
      </c>
      <c r="I97" s="13">
        <v>244202</v>
      </c>
      <c r="J97" s="27"/>
      <c r="K97" s="12">
        <f t="shared" si="21"/>
        <v>244202</v>
      </c>
      <c r="L97" s="63">
        <f t="shared" si="18"/>
        <v>0.626104390899255</v>
      </c>
    </row>
    <row r="98" spans="1:12" s="2" customFormat="1" ht="22.5">
      <c r="A98" s="46"/>
      <c r="B98" s="10" t="s">
        <v>127</v>
      </c>
      <c r="C98" s="13">
        <v>343440</v>
      </c>
      <c r="D98" s="27"/>
      <c r="E98" s="12">
        <f t="shared" si="19"/>
        <v>343440</v>
      </c>
      <c r="F98" s="13">
        <v>343440</v>
      </c>
      <c r="G98" s="27"/>
      <c r="H98" s="12">
        <f t="shared" si="20"/>
        <v>343440</v>
      </c>
      <c r="I98" s="13">
        <v>435915</v>
      </c>
      <c r="J98" s="27"/>
      <c r="K98" s="12">
        <f t="shared" si="21"/>
        <v>435915</v>
      </c>
      <c r="L98" s="63">
        <f t="shared" si="18"/>
        <v>1.2692610062893082</v>
      </c>
    </row>
    <row r="99" spans="1:12" s="2" customFormat="1" ht="22.5">
      <c r="A99" s="46"/>
      <c r="B99" s="10" t="s">
        <v>128</v>
      </c>
      <c r="C99" s="13">
        <v>47570</v>
      </c>
      <c r="D99" s="27"/>
      <c r="E99" s="12">
        <f t="shared" si="19"/>
        <v>47570</v>
      </c>
      <c r="F99" s="13">
        <v>47570</v>
      </c>
      <c r="G99" s="27"/>
      <c r="H99" s="12">
        <f t="shared" si="20"/>
        <v>47570</v>
      </c>
      <c r="I99" s="13"/>
      <c r="J99" s="27"/>
      <c r="K99" s="12">
        <f t="shared" si="21"/>
        <v>0</v>
      </c>
      <c r="L99" s="63">
        <f t="shared" si="18"/>
        <v>0</v>
      </c>
    </row>
    <row r="100" spans="1:12" s="2" customFormat="1" ht="22.5">
      <c r="A100" s="46"/>
      <c r="B100" s="30" t="s">
        <v>161</v>
      </c>
      <c r="C100" s="13">
        <v>214354</v>
      </c>
      <c r="D100" s="27"/>
      <c r="E100" s="12">
        <f t="shared" si="19"/>
        <v>214354</v>
      </c>
      <c r="F100" s="13">
        <v>214354</v>
      </c>
      <c r="G100" s="27"/>
      <c r="H100" s="12">
        <f t="shared" si="20"/>
        <v>214354</v>
      </c>
      <c r="I100" s="13"/>
      <c r="J100" s="27"/>
      <c r="K100" s="12">
        <f t="shared" si="21"/>
        <v>0</v>
      </c>
      <c r="L100" s="63">
        <f t="shared" si="18"/>
        <v>0</v>
      </c>
    </row>
    <row r="101" spans="1:12" s="9" customFormat="1" ht="12">
      <c r="A101" s="21">
        <v>8</v>
      </c>
      <c r="B101" s="23" t="s">
        <v>58</v>
      </c>
      <c r="C101" s="24">
        <f>SUM(C102:C103)</f>
        <v>242361147</v>
      </c>
      <c r="D101" s="24">
        <f>SUM(D102:D103)</f>
        <v>65955597</v>
      </c>
      <c r="E101" s="24">
        <f t="shared" si="19"/>
        <v>308316744</v>
      </c>
      <c r="F101" s="24">
        <f>SUM(F102:F103)</f>
        <v>232361147</v>
      </c>
      <c r="G101" s="24">
        <f>SUM(G102:G103)</f>
        <v>65955597</v>
      </c>
      <c r="H101" s="24">
        <f t="shared" si="20"/>
        <v>298316744</v>
      </c>
      <c r="I101" s="24">
        <f>SUM(I102:I103)</f>
        <v>237322232</v>
      </c>
      <c r="J101" s="24">
        <f>SUM(J102:J103)</f>
        <v>64264733</v>
      </c>
      <c r="K101" s="24">
        <f t="shared" si="21"/>
        <v>301586965</v>
      </c>
      <c r="L101" s="63">
        <f t="shared" si="18"/>
        <v>1.0109622442111394</v>
      </c>
    </row>
    <row r="102" spans="1:12" s="2" customFormat="1" ht="11.25">
      <c r="A102" s="46"/>
      <c r="B102" s="25" t="s">
        <v>59</v>
      </c>
      <c r="C102" s="13">
        <v>222561147</v>
      </c>
      <c r="D102" s="13">
        <v>61755597</v>
      </c>
      <c r="E102" s="12">
        <f t="shared" si="19"/>
        <v>284316744</v>
      </c>
      <c r="F102" s="13">
        <f>222561147-10000000</f>
        <v>212561147</v>
      </c>
      <c r="G102" s="13">
        <v>61755597</v>
      </c>
      <c r="H102" s="12">
        <f t="shared" si="20"/>
        <v>274316744</v>
      </c>
      <c r="I102" s="13">
        <v>217522232</v>
      </c>
      <c r="J102" s="13">
        <v>60064733</v>
      </c>
      <c r="K102" s="12">
        <f t="shared" si="21"/>
        <v>277586965</v>
      </c>
      <c r="L102" s="63">
        <f t="shared" si="18"/>
        <v>1.011921332078803</v>
      </c>
    </row>
    <row r="103" spans="1:12" s="2" customFormat="1" ht="11.25">
      <c r="A103" s="46"/>
      <c r="B103" s="25" t="s">
        <v>164</v>
      </c>
      <c r="C103" s="13">
        <v>19800000</v>
      </c>
      <c r="D103" s="13">
        <v>4200000</v>
      </c>
      <c r="E103" s="12">
        <f t="shared" si="19"/>
        <v>24000000</v>
      </c>
      <c r="F103" s="13">
        <v>19800000</v>
      </c>
      <c r="G103" s="13">
        <v>4200000</v>
      </c>
      <c r="H103" s="12">
        <f t="shared" si="20"/>
        <v>24000000</v>
      </c>
      <c r="I103" s="13">
        <v>19800000</v>
      </c>
      <c r="J103" s="13">
        <v>4200000</v>
      </c>
      <c r="K103" s="12">
        <f t="shared" si="21"/>
        <v>24000000</v>
      </c>
      <c r="L103" s="63">
        <f t="shared" si="18"/>
        <v>1</v>
      </c>
    </row>
    <row r="104" spans="1:12" s="6" customFormat="1" ht="15">
      <c r="A104" s="132" t="s">
        <v>60</v>
      </c>
      <c r="B104" s="132"/>
      <c r="C104" s="33">
        <f>SUM(C105:C106)</f>
        <v>95045026</v>
      </c>
      <c r="D104" s="33">
        <f>SUM(D105:D106)</f>
        <v>96385805</v>
      </c>
      <c r="E104" s="33">
        <f t="shared" si="19"/>
        <v>191430831</v>
      </c>
      <c r="F104" s="33">
        <f>SUM(F105:F106)</f>
        <v>95045026</v>
      </c>
      <c r="G104" s="33">
        <f>SUM(G105:G106)</f>
        <v>96385805</v>
      </c>
      <c r="H104" s="33">
        <f t="shared" si="20"/>
        <v>191430831</v>
      </c>
      <c r="I104" s="33">
        <f>SUM(I105:I106)</f>
        <v>108617989</v>
      </c>
      <c r="J104" s="33">
        <f>SUM(J105:J106)</f>
        <v>93549494</v>
      </c>
      <c r="K104" s="33">
        <f t="shared" si="21"/>
        <v>202167483</v>
      </c>
      <c r="L104" s="63">
        <f t="shared" si="18"/>
        <v>1.056086326031777</v>
      </c>
    </row>
    <row r="105" spans="1:12" s="1" customFormat="1" ht="11.25">
      <c r="A105" s="46">
        <v>1</v>
      </c>
      <c r="B105" s="25" t="s">
        <v>61</v>
      </c>
      <c r="C105" s="13">
        <v>95045026</v>
      </c>
      <c r="D105" s="13">
        <v>89207804</v>
      </c>
      <c r="E105" s="12">
        <f t="shared" si="19"/>
        <v>184252830</v>
      </c>
      <c r="F105" s="13">
        <v>95045026</v>
      </c>
      <c r="G105" s="13">
        <v>89207804</v>
      </c>
      <c r="H105" s="12">
        <f t="shared" si="20"/>
        <v>184252830</v>
      </c>
      <c r="I105" s="13">
        <v>108617989</v>
      </c>
      <c r="J105" s="13">
        <v>87319201</v>
      </c>
      <c r="K105" s="12">
        <f t="shared" si="21"/>
        <v>195937190</v>
      </c>
      <c r="L105" s="63">
        <f t="shared" si="18"/>
        <v>1.0634148197343836</v>
      </c>
    </row>
    <row r="106" spans="1:12" s="1" customFormat="1" ht="11.25">
      <c r="A106" s="46">
        <v>2</v>
      </c>
      <c r="B106" s="29" t="s">
        <v>62</v>
      </c>
      <c r="C106" s="13"/>
      <c r="D106" s="13">
        <v>7178001</v>
      </c>
      <c r="E106" s="12">
        <f t="shared" si="19"/>
        <v>7178001</v>
      </c>
      <c r="F106" s="13"/>
      <c r="G106" s="13">
        <v>7178001</v>
      </c>
      <c r="H106" s="12">
        <f t="shared" si="20"/>
        <v>7178001</v>
      </c>
      <c r="I106" s="13"/>
      <c r="J106" s="13">
        <v>6230293</v>
      </c>
      <c r="K106" s="12">
        <f t="shared" si="21"/>
        <v>6230293</v>
      </c>
      <c r="L106" s="63">
        <f aca="true" t="shared" si="22" ref="L106:L125">K106/H106</f>
        <v>0.8679704837043071</v>
      </c>
    </row>
    <row r="107" spans="1:12" s="34" customFormat="1" ht="15">
      <c r="A107" s="133" t="s">
        <v>63</v>
      </c>
      <c r="B107" s="134"/>
      <c r="C107" s="32">
        <f>C108+C131+C135</f>
        <v>52589760</v>
      </c>
      <c r="D107" s="32">
        <f>D108+D131+D135</f>
        <v>41340524</v>
      </c>
      <c r="E107" s="33">
        <f t="shared" si="19"/>
        <v>93930284</v>
      </c>
      <c r="F107" s="32">
        <f>F108+F131+F135</f>
        <v>52589760</v>
      </c>
      <c r="G107" s="32">
        <f>G108+G131+G135</f>
        <v>41340524</v>
      </c>
      <c r="H107" s="33">
        <f t="shared" si="20"/>
        <v>93930284</v>
      </c>
      <c r="I107" s="32">
        <f>I108+I131+I135</f>
        <v>51158880</v>
      </c>
      <c r="J107" s="32">
        <f>J108+J131+J135</f>
        <v>18589390</v>
      </c>
      <c r="K107" s="33">
        <f t="shared" si="21"/>
        <v>69748270</v>
      </c>
      <c r="L107" s="63">
        <f t="shared" si="22"/>
        <v>0.742553594323211</v>
      </c>
    </row>
    <row r="108" spans="1:12" s="36" customFormat="1" ht="12">
      <c r="A108" s="48">
        <v>1</v>
      </c>
      <c r="B108" s="35" t="s">
        <v>64</v>
      </c>
      <c r="C108" s="7">
        <f>SUM(C109:C111,C119:C130)</f>
        <v>43724843</v>
      </c>
      <c r="D108" s="7">
        <f>SUM(D109:D111,D119:D130)</f>
        <v>40439874</v>
      </c>
      <c r="E108" s="24">
        <f t="shared" si="19"/>
        <v>84164717</v>
      </c>
      <c r="F108" s="7">
        <f>SUM(F109:F111,F119:F130)</f>
        <v>43724843</v>
      </c>
      <c r="G108" s="7">
        <f>SUM(G109:G111,G119:G130)</f>
        <v>40439874</v>
      </c>
      <c r="H108" s="24">
        <f t="shared" si="20"/>
        <v>84164717</v>
      </c>
      <c r="I108" s="7">
        <f>SUM(I109:I111,I119:I130)</f>
        <v>43128780</v>
      </c>
      <c r="J108" s="7">
        <f>SUM(J109:J111,J119:J130)</f>
        <v>17720190</v>
      </c>
      <c r="K108" s="24">
        <f t="shared" si="21"/>
        <v>60848970</v>
      </c>
      <c r="L108" s="63">
        <f t="shared" si="22"/>
        <v>0.7229748066520558</v>
      </c>
    </row>
    <row r="109" spans="1:12" s="1" customFormat="1" ht="22.5">
      <c r="A109" s="46"/>
      <c r="B109" s="37" t="s">
        <v>132</v>
      </c>
      <c r="C109" s="13"/>
      <c r="D109" s="13">
        <f>779000-4000+2007</f>
        <v>777007</v>
      </c>
      <c r="E109" s="12">
        <f t="shared" si="19"/>
        <v>777007</v>
      </c>
      <c r="F109" s="13"/>
      <c r="G109" s="13">
        <f>779000-4000+2007</f>
        <v>777007</v>
      </c>
      <c r="H109" s="12">
        <f t="shared" si="20"/>
        <v>777007</v>
      </c>
      <c r="I109" s="13"/>
      <c r="J109" s="13">
        <v>777000</v>
      </c>
      <c r="K109" s="12">
        <f t="shared" si="21"/>
        <v>777000</v>
      </c>
      <c r="L109" s="63">
        <f t="shared" si="22"/>
        <v>0.9999909910721525</v>
      </c>
    </row>
    <row r="110" spans="1:12" s="2" customFormat="1" ht="22.5">
      <c r="A110" s="46"/>
      <c r="B110" s="25" t="s">
        <v>113</v>
      </c>
      <c r="C110" s="13"/>
      <c r="D110" s="13">
        <v>11324800</v>
      </c>
      <c r="E110" s="12">
        <f t="shared" si="19"/>
        <v>11324800</v>
      </c>
      <c r="F110" s="13"/>
      <c r="G110" s="13">
        <v>11324800</v>
      </c>
      <c r="H110" s="12">
        <f t="shared" si="20"/>
        <v>11324800</v>
      </c>
      <c r="I110" s="13"/>
      <c r="J110" s="13">
        <v>11297000</v>
      </c>
      <c r="K110" s="12">
        <f t="shared" si="21"/>
        <v>11297000</v>
      </c>
      <c r="L110" s="63">
        <f t="shared" si="22"/>
        <v>0.997545210511444</v>
      </c>
    </row>
    <row r="111" spans="1:12" s="2" customFormat="1" ht="11.25">
      <c r="A111" s="46"/>
      <c r="B111" s="25" t="s">
        <v>65</v>
      </c>
      <c r="C111" s="13">
        <f>SUM(C112:C118)</f>
        <v>41408840</v>
      </c>
      <c r="D111" s="13">
        <f>SUM(D112:D118)</f>
        <v>701500</v>
      </c>
      <c r="E111" s="12">
        <f t="shared" si="19"/>
        <v>42110340</v>
      </c>
      <c r="F111" s="13">
        <f>SUM(F112:F118)</f>
        <v>41408840</v>
      </c>
      <c r="G111" s="13">
        <f>SUM(G112:G118)</f>
        <v>701500</v>
      </c>
      <c r="H111" s="12">
        <f aca="true" t="shared" si="23" ref="H111:H131">SUM(F111:G111)</f>
        <v>42110340</v>
      </c>
      <c r="I111" s="13">
        <f>SUM(I112:I118)</f>
        <v>41702400</v>
      </c>
      <c r="J111" s="13">
        <f>SUM(J112:J118)</f>
        <v>688500</v>
      </c>
      <c r="K111" s="12">
        <f t="shared" si="21"/>
        <v>42390900</v>
      </c>
      <c r="L111" s="63">
        <f t="shared" si="22"/>
        <v>1.0066624966694642</v>
      </c>
    </row>
    <row r="112" spans="1:12" s="4" customFormat="1" ht="11.25">
      <c r="A112" s="43"/>
      <c r="B112" s="39" t="s">
        <v>66</v>
      </c>
      <c r="C112" s="18">
        <f>1998240-150000</f>
        <v>1848240</v>
      </c>
      <c r="D112" s="18"/>
      <c r="E112" s="17">
        <f t="shared" si="19"/>
        <v>1848240</v>
      </c>
      <c r="F112" s="18">
        <f>1594080+29160+225000</f>
        <v>1848240</v>
      </c>
      <c r="G112" s="18"/>
      <c r="H112" s="17">
        <f t="shared" si="23"/>
        <v>1848240</v>
      </c>
      <c r="I112" s="18">
        <v>1739880</v>
      </c>
      <c r="J112" s="18"/>
      <c r="K112" s="17">
        <f t="shared" si="21"/>
        <v>1739880</v>
      </c>
      <c r="L112" s="63">
        <f t="shared" si="22"/>
        <v>0.9413712504869497</v>
      </c>
    </row>
    <row r="113" spans="1:12" s="4" customFormat="1" ht="11.25">
      <c r="A113" s="43"/>
      <c r="B113" s="39" t="s">
        <v>81</v>
      </c>
      <c r="C113" s="18">
        <f>95000-15000</f>
        <v>80000</v>
      </c>
      <c r="D113" s="18"/>
      <c r="E113" s="17">
        <f t="shared" si="19"/>
        <v>80000</v>
      </c>
      <c r="F113" s="18">
        <f>95000-15000</f>
        <v>80000</v>
      </c>
      <c r="G113" s="18"/>
      <c r="H113" s="17">
        <f t="shared" si="23"/>
        <v>80000</v>
      </c>
      <c r="I113" s="18">
        <v>126520</v>
      </c>
      <c r="J113" s="18"/>
      <c r="K113" s="17">
        <f t="shared" si="21"/>
        <v>126520</v>
      </c>
      <c r="L113" s="63">
        <f t="shared" si="22"/>
        <v>1.5815</v>
      </c>
    </row>
    <row r="114" spans="1:12" s="4" customFormat="1" ht="22.5">
      <c r="A114" s="43"/>
      <c r="B114" s="39" t="s">
        <v>117</v>
      </c>
      <c r="C114" s="18"/>
      <c r="D114" s="18">
        <v>397500</v>
      </c>
      <c r="E114" s="17">
        <f t="shared" si="19"/>
        <v>397500</v>
      </c>
      <c r="F114" s="18"/>
      <c r="G114" s="18">
        <v>397500</v>
      </c>
      <c r="H114" s="17">
        <f t="shared" si="23"/>
        <v>397500</v>
      </c>
      <c r="I114" s="18"/>
      <c r="J114" s="18">
        <v>397500</v>
      </c>
      <c r="K114" s="17">
        <f t="shared" si="21"/>
        <v>397500</v>
      </c>
      <c r="L114" s="63">
        <f t="shared" si="22"/>
        <v>1</v>
      </c>
    </row>
    <row r="115" spans="1:12" s="4" customFormat="1" ht="11.25">
      <c r="A115" s="43"/>
      <c r="B115" s="39" t="s">
        <v>67</v>
      </c>
      <c r="C115" s="18">
        <f>52500+5000</f>
        <v>57500</v>
      </c>
      <c r="D115" s="18"/>
      <c r="E115" s="17">
        <f t="shared" si="19"/>
        <v>57500</v>
      </c>
      <c r="F115" s="18">
        <f>52500+5000</f>
        <v>57500</v>
      </c>
      <c r="G115" s="18"/>
      <c r="H115" s="17">
        <f t="shared" si="23"/>
        <v>57500</v>
      </c>
      <c r="I115" s="18">
        <v>86000</v>
      </c>
      <c r="J115" s="18"/>
      <c r="K115" s="17">
        <f t="shared" si="21"/>
        <v>86000</v>
      </c>
      <c r="L115" s="63">
        <f t="shared" si="22"/>
        <v>1.4956521739130435</v>
      </c>
    </row>
    <row r="116" spans="1:12" s="4" customFormat="1" ht="11.25">
      <c r="A116" s="43"/>
      <c r="B116" s="39" t="s">
        <v>68</v>
      </c>
      <c r="C116" s="18">
        <f>39453100-500000</f>
        <v>38953100</v>
      </c>
      <c r="D116" s="18"/>
      <c r="E116" s="17">
        <f t="shared" si="19"/>
        <v>38953100</v>
      </c>
      <c r="F116" s="18">
        <f>39453100-500000</f>
        <v>38953100</v>
      </c>
      <c r="G116" s="18"/>
      <c r="H116" s="17">
        <f t="shared" si="23"/>
        <v>38953100</v>
      </c>
      <c r="I116" s="18">
        <v>39000000</v>
      </c>
      <c r="J116" s="18"/>
      <c r="K116" s="17">
        <f t="shared" si="21"/>
        <v>39000000</v>
      </c>
      <c r="L116" s="63">
        <f t="shared" si="22"/>
        <v>1.0012040120041794</v>
      </c>
    </row>
    <row r="117" spans="1:12" s="4" customFormat="1" ht="11.25">
      <c r="A117" s="43"/>
      <c r="B117" s="39" t="s">
        <v>135</v>
      </c>
      <c r="C117" s="18">
        <v>470000</v>
      </c>
      <c r="D117" s="18"/>
      <c r="E117" s="17">
        <f t="shared" si="19"/>
        <v>470000</v>
      </c>
      <c r="F117" s="18">
        <v>470000</v>
      </c>
      <c r="G117" s="18"/>
      <c r="H117" s="17">
        <f t="shared" si="23"/>
        <v>470000</v>
      </c>
      <c r="I117" s="18">
        <v>750000</v>
      </c>
      <c r="J117" s="18"/>
      <c r="K117" s="17">
        <f aca="true" t="shared" si="24" ref="K117:K135">SUM(I117:J117)</f>
        <v>750000</v>
      </c>
      <c r="L117" s="63">
        <f t="shared" si="22"/>
        <v>1.5957446808510638</v>
      </c>
    </row>
    <row r="118" spans="1:12" s="4" customFormat="1" ht="11.25">
      <c r="A118" s="43"/>
      <c r="B118" s="39" t="s">
        <v>69</v>
      </c>
      <c r="C118" s="18"/>
      <c r="D118" s="18">
        <v>304000</v>
      </c>
      <c r="E118" s="17">
        <f t="shared" si="19"/>
        <v>304000</v>
      </c>
      <c r="F118" s="18"/>
      <c r="G118" s="18">
        <v>304000</v>
      </c>
      <c r="H118" s="17">
        <f t="shared" si="23"/>
        <v>304000</v>
      </c>
      <c r="I118" s="18"/>
      <c r="J118" s="18">
        <v>291000</v>
      </c>
      <c r="K118" s="17">
        <f t="shared" si="24"/>
        <v>291000</v>
      </c>
      <c r="L118" s="63">
        <f t="shared" si="22"/>
        <v>0.9572368421052632</v>
      </c>
    </row>
    <row r="119" spans="1:12" s="2" customFormat="1" ht="11.25">
      <c r="A119" s="46"/>
      <c r="B119" s="25" t="s">
        <v>70</v>
      </c>
      <c r="C119" s="13"/>
      <c r="D119" s="13">
        <v>3283135</v>
      </c>
      <c r="E119" s="12">
        <f t="shared" si="19"/>
        <v>3283135</v>
      </c>
      <c r="F119" s="13"/>
      <c r="G119" s="13">
        <v>3283135</v>
      </c>
      <c r="H119" s="12">
        <f t="shared" si="23"/>
        <v>3283135</v>
      </c>
      <c r="I119" s="13"/>
      <c r="J119" s="13">
        <v>4036690</v>
      </c>
      <c r="K119" s="12">
        <f t="shared" si="24"/>
        <v>4036690</v>
      </c>
      <c r="L119" s="63">
        <f t="shared" si="22"/>
        <v>1.2295230016432466</v>
      </c>
    </row>
    <row r="120" spans="1:12" s="2" customFormat="1" ht="11.25">
      <c r="A120" s="46"/>
      <c r="B120" s="25" t="s">
        <v>84</v>
      </c>
      <c r="C120" s="13">
        <v>23000</v>
      </c>
      <c r="D120" s="13"/>
      <c r="E120" s="12">
        <f t="shared" si="19"/>
        <v>23000</v>
      </c>
      <c r="F120" s="13">
        <v>23000</v>
      </c>
      <c r="G120" s="13"/>
      <c r="H120" s="12">
        <f t="shared" si="23"/>
        <v>23000</v>
      </c>
      <c r="I120" s="13">
        <v>24280</v>
      </c>
      <c r="J120" s="13"/>
      <c r="K120" s="12">
        <f t="shared" si="24"/>
        <v>24280</v>
      </c>
      <c r="L120" s="63">
        <f t="shared" si="22"/>
        <v>1.0556521739130436</v>
      </c>
    </row>
    <row r="121" spans="1:12" s="2" customFormat="1" ht="33.75">
      <c r="A121" s="46"/>
      <c r="B121" s="25" t="s">
        <v>99</v>
      </c>
      <c r="C121" s="13">
        <v>2756</v>
      </c>
      <c r="D121" s="13"/>
      <c r="E121" s="12">
        <f t="shared" si="19"/>
        <v>2756</v>
      </c>
      <c r="F121" s="13">
        <v>2756</v>
      </c>
      <c r="G121" s="13"/>
      <c r="H121" s="12">
        <f t="shared" si="23"/>
        <v>2756</v>
      </c>
      <c r="I121" s="13"/>
      <c r="J121" s="13"/>
      <c r="K121" s="12">
        <f t="shared" si="24"/>
        <v>0</v>
      </c>
      <c r="L121" s="63">
        <f t="shared" si="22"/>
        <v>0</v>
      </c>
    </row>
    <row r="122" spans="1:12" s="2" customFormat="1" ht="11.25">
      <c r="A122" s="46"/>
      <c r="B122" s="25" t="s">
        <v>92</v>
      </c>
      <c r="C122" s="13">
        <v>1361000</v>
      </c>
      <c r="D122" s="13">
        <f>598000+100000</f>
        <v>698000</v>
      </c>
      <c r="E122" s="12">
        <f aca="true" t="shared" si="25" ref="E122:E133">SUM(C122:D122)</f>
        <v>2059000</v>
      </c>
      <c r="F122" s="13">
        <v>1361000</v>
      </c>
      <c r="G122" s="13">
        <f>598000+100000</f>
        <v>698000</v>
      </c>
      <c r="H122" s="12">
        <f t="shared" si="23"/>
        <v>2059000</v>
      </c>
      <c r="I122" s="13">
        <v>1361000</v>
      </c>
      <c r="J122" s="13">
        <v>598000</v>
      </c>
      <c r="K122" s="12">
        <f t="shared" si="24"/>
        <v>1959000</v>
      </c>
      <c r="L122" s="63">
        <f t="shared" si="22"/>
        <v>0.9514327343370568</v>
      </c>
    </row>
    <row r="123" spans="1:12" s="2" customFormat="1" ht="11.25">
      <c r="A123" s="46"/>
      <c r="B123" s="25" t="s">
        <v>71</v>
      </c>
      <c r="C123" s="13">
        <f>123895+390900</f>
        <v>514795</v>
      </c>
      <c r="D123" s="13"/>
      <c r="E123" s="12">
        <f t="shared" si="25"/>
        <v>514795</v>
      </c>
      <c r="F123" s="13">
        <f>123895+390900</f>
        <v>514795</v>
      </c>
      <c r="G123" s="13"/>
      <c r="H123" s="12">
        <f t="shared" si="23"/>
        <v>514795</v>
      </c>
      <c r="I123" s="13"/>
      <c r="J123" s="13"/>
      <c r="K123" s="12">
        <f t="shared" si="24"/>
        <v>0</v>
      </c>
      <c r="L123" s="63">
        <f t="shared" si="22"/>
        <v>0</v>
      </c>
    </row>
    <row r="124" spans="1:12" s="2" customFormat="1" ht="22.5">
      <c r="A124" s="46"/>
      <c r="B124" s="25" t="s">
        <v>157</v>
      </c>
      <c r="C124" s="13">
        <f>329115+10000</f>
        <v>339115</v>
      </c>
      <c r="D124" s="13"/>
      <c r="E124" s="12">
        <f t="shared" si="25"/>
        <v>339115</v>
      </c>
      <c r="F124" s="13">
        <f>329115+10000</f>
        <v>339115</v>
      </c>
      <c r="G124" s="13"/>
      <c r="H124" s="12">
        <f t="shared" si="23"/>
        <v>339115</v>
      </c>
      <c r="I124" s="13"/>
      <c r="J124" s="13"/>
      <c r="K124" s="12">
        <f t="shared" si="24"/>
        <v>0</v>
      </c>
      <c r="L124" s="63">
        <f t="shared" si="22"/>
        <v>0</v>
      </c>
    </row>
    <row r="125" spans="1:12" s="31" customFormat="1" ht="11.25">
      <c r="A125" s="46"/>
      <c r="B125" s="25" t="s">
        <v>138</v>
      </c>
      <c r="C125" s="13">
        <v>40170</v>
      </c>
      <c r="D125" s="13"/>
      <c r="E125" s="12">
        <f t="shared" si="25"/>
        <v>40170</v>
      </c>
      <c r="F125" s="13">
        <v>40170</v>
      </c>
      <c r="G125" s="13"/>
      <c r="H125" s="12">
        <f t="shared" si="23"/>
        <v>40170</v>
      </c>
      <c r="I125" s="13">
        <v>41100</v>
      </c>
      <c r="J125" s="13"/>
      <c r="K125" s="12">
        <f t="shared" si="24"/>
        <v>41100</v>
      </c>
      <c r="L125" s="63">
        <f t="shared" si="22"/>
        <v>1.0231516056758776</v>
      </c>
    </row>
    <row r="126" spans="1:12" s="31" customFormat="1" ht="11.25">
      <c r="A126" s="46"/>
      <c r="B126" s="25" t="s">
        <v>158</v>
      </c>
      <c r="C126" s="13">
        <f>25504+9663</f>
        <v>35167</v>
      </c>
      <c r="D126" s="13"/>
      <c r="E126" s="12">
        <f t="shared" si="25"/>
        <v>35167</v>
      </c>
      <c r="F126" s="13">
        <f>25504+9663</f>
        <v>35167</v>
      </c>
      <c r="G126" s="13"/>
      <c r="H126" s="12">
        <f t="shared" si="23"/>
        <v>35167</v>
      </c>
      <c r="I126" s="13"/>
      <c r="J126" s="13"/>
      <c r="K126" s="12">
        <f t="shared" si="24"/>
        <v>0</v>
      </c>
      <c r="L126" s="63">
        <f>K126/H126</f>
        <v>0</v>
      </c>
    </row>
    <row r="127" spans="1:12" s="2" customFormat="1" ht="11.25">
      <c r="A127" s="49"/>
      <c r="B127" s="38" t="s">
        <v>72</v>
      </c>
      <c r="C127" s="13"/>
      <c r="D127" s="13">
        <v>100000</v>
      </c>
      <c r="E127" s="12">
        <f t="shared" si="25"/>
        <v>100000</v>
      </c>
      <c r="F127" s="13"/>
      <c r="G127" s="13">
        <v>100000</v>
      </c>
      <c r="H127" s="12">
        <f t="shared" si="23"/>
        <v>100000</v>
      </c>
      <c r="I127" s="13"/>
      <c r="J127" s="13">
        <v>99000</v>
      </c>
      <c r="K127" s="12">
        <f t="shared" si="24"/>
        <v>99000</v>
      </c>
      <c r="L127" s="63">
        <f aca="true" t="shared" si="26" ref="L127:L137">K127/H127</f>
        <v>0.99</v>
      </c>
    </row>
    <row r="128" spans="1:12" s="2" customFormat="1" ht="11.25">
      <c r="A128" s="49"/>
      <c r="B128" s="38" t="s">
        <v>73</v>
      </c>
      <c r="C128" s="13"/>
      <c r="D128" s="13">
        <v>54000</v>
      </c>
      <c r="E128" s="12">
        <f t="shared" si="25"/>
        <v>54000</v>
      </c>
      <c r="F128" s="13"/>
      <c r="G128" s="13">
        <v>54000</v>
      </c>
      <c r="H128" s="12">
        <f t="shared" si="23"/>
        <v>54000</v>
      </c>
      <c r="I128" s="13"/>
      <c r="J128" s="13">
        <v>38000</v>
      </c>
      <c r="K128" s="12">
        <f t="shared" si="24"/>
        <v>38000</v>
      </c>
      <c r="L128" s="63">
        <f t="shared" si="26"/>
        <v>0.7037037037037037</v>
      </c>
    </row>
    <row r="129" spans="1:12" s="2" customFormat="1" ht="11.25">
      <c r="A129" s="49"/>
      <c r="B129" s="38" t="s">
        <v>74</v>
      </c>
      <c r="C129" s="13"/>
      <c r="D129" s="13">
        <v>23447640</v>
      </c>
      <c r="E129" s="12">
        <f t="shared" si="25"/>
        <v>23447640</v>
      </c>
      <c r="F129" s="13"/>
      <c r="G129" s="13">
        <v>23447640</v>
      </c>
      <c r="H129" s="12">
        <f t="shared" si="23"/>
        <v>23447640</v>
      </c>
      <c r="I129" s="13"/>
      <c r="J129" s="13">
        <v>132000</v>
      </c>
      <c r="K129" s="12">
        <f t="shared" si="24"/>
        <v>132000</v>
      </c>
      <c r="L129" s="63">
        <f t="shared" si="26"/>
        <v>0.005629564425247061</v>
      </c>
    </row>
    <row r="130" spans="1:12" s="28" customFormat="1" ht="11.25">
      <c r="A130" s="47"/>
      <c r="B130" s="30" t="s">
        <v>123</v>
      </c>
      <c r="C130" s="13"/>
      <c r="D130" s="13">
        <f>80000-26208</f>
        <v>53792</v>
      </c>
      <c r="E130" s="12">
        <f t="shared" si="25"/>
        <v>53792</v>
      </c>
      <c r="F130" s="13"/>
      <c r="G130" s="13">
        <f>80000-26208</f>
        <v>53792</v>
      </c>
      <c r="H130" s="12">
        <f t="shared" si="23"/>
        <v>53792</v>
      </c>
      <c r="I130" s="13"/>
      <c r="J130" s="13">
        <v>54000</v>
      </c>
      <c r="K130" s="12">
        <f t="shared" si="24"/>
        <v>54000</v>
      </c>
      <c r="L130" s="63">
        <f t="shared" si="26"/>
        <v>1.003866745984533</v>
      </c>
    </row>
    <row r="131" spans="1:12" s="28" customFormat="1" ht="24">
      <c r="A131" s="21">
        <v>2</v>
      </c>
      <c r="B131" s="23" t="s">
        <v>75</v>
      </c>
      <c r="C131" s="40">
        <f>SUM(C132:C134)</f>
        <v>57000</v>
      </c>
      <c r="D131" s="40">
        <f>SUM(D132:D134)</f>
        <v>26208</v>
      </c>
      <c r="E131" s="24">
        <f t="shared" si="25"/>
        <v>83208</v>
      </c>
      <c r="F131" s="40">
        <f>SUM(F132:F134)</f>
        <v>57000</v>
      </c>
      <c r="G131" s="40">
        <f>SUM(G132:G134)</f>
        <v>26208</v>
      </c>
      <c r="H131" s="24">
        <f t="shared" si="23"/>
        <v>83208</v>
      </c>
      <c r="I131" s="40">
        <f>SUM(I132:I134)</f>
        <v>36000</v>
      </c>
      <c r="J131" s="40">
        <f>SUM(J132:J134)</f>
        <v>25000</v>
      </c>
      <c r="K131" s="24">
        <f t="shared" si="24"/>
        <v>61000</v>
      </c>
      <c r="L131" s="63">
        <f t="shared" si="26"/>
        <v>0.7331025862897799</v>
      </c>
    </row>
    <row r="132" spans="1:12" s="2" customFormat="1" ht="11.25">
      <c r="A132" s="46"/>
      <c r="B132" s="30" t="s">
        <v>76</v>
      </c>
      <c r="C132" s="13">
        <v>36000</v>
      </c>
      <c r="D132" s="13"/>
      <c r="E132" s="12">
        <f t="shared" si="25"/>
        <v>36000</v>
      </c>
      <c r="F132" s="13">
        <v>36000</v>
      </c>
      <c r="G132" s="13"/>
      <c r="H132" s="12">
        <f aca="true" t="shared" si="27" ref="H132:H138">SUM(F132:G132)</f>
        <v>36000</v>
      </c>
      <c r="I132" s="13">
        <v>36000</v>
      </c>
      <c r="J132" s="13"/>
      <c r="K132" s="12">
        <f t="shared" si="24"/>
        <v>36000</v>
      </c>
      <c r="L132" s="63">
        <f t="shared" si="26"/>
        <v>1</v>
      </c>
    </row>
    <row r="133" spans="1:12" s="2" customFormat="1" ht="11.25">
      <c r="A133" s="46"/>
      <c r="B133" s="30" t="s">
        <v>123</v>
      </c>
      <c r="C133" s="13"/>
      <c r="D133" s="13">
        <v>26208</v>
      </c>
      <c r="E133" s="12">
        <f t="shared" si="25"/>
        <v>26208</v>
      </c>
      <c r="F133" s="13"/>
      <c r="G133" s="13">
        <v>26208</v>
      </c>
      <c r="H133" s="12">
        <f t="shared" si="27"/>
        <v>26208</v>
      </c>
      <c r="I133" s="13"/>
      <c r="J133" s="13">
        <v>25000</v>
      </c>
      <c r="K133" s="12">
        <f t="shared" si="24"/>
        <v>25000</v>
      </c>
      <c r="L133" s="63">
        <f t="shared" si="26"/>
        <v>0.953907203907204</v>
      </c>
    </row>
    <row r="134" spans="1:12" s="2" customFormat="1" ht="22.5">
      <c r="A134" s="46"/>
      <c r="B134" s="30" t="s">
        <v>98</v>
      </c>
      <c r="C134" s="13">
        <v>21000</v>
      </c>
      <c r="D134" s="13"/>
      <c r="E134" s="12"/>
      <c r="F134" s="13">
        <v>21000</v>
      </c>
      <c r="G134" s="13"/>
      <c r="H134" s="12">
        <f t="shared" si="27"/>
        <v>21000</v>
      </c>
      <c r="I134" s="13"/>
      <c r="J134" s="13"/>
      <c r="K134" s="12">
        <f t="shared" si="24"/>
        <v>0</v>
      </c>
      <c r="L134" s="63">
        <f t="shared" si="26"/>
        <v>0</v>
      </c>
    </row>
    <row r="135" spans="1:12" s="1" customFormat="1" ht="24">
      <c r="A135" s="21">
        <v>3</v>
      </c>
      <c r="B135" s="23" t="s">
        <v>77</v>
      </c>
      <c r="C135" s="24">
        <f>SUM(C136:C138)</f>
        <v>8807917</v>
      </c>
      <c r="D135" s="24">
        <f>SUM(D136:D138)</f>
        <v>874442</v>
      </c>
      <c r="E135" s="24">
        <f aca="true" t="shared" si="28" ref="E135:E145">SUM(C135:D135)</f>
        <v>9682359</v>
      </c>
      <c r="F135" s="24">
        <f>SUM(F136:F138)</f>
        <v>8807917</v>
      </c>
      <c r="G135" s="24">
        <f>SUM(G136:G138)</f>
        <v>874442</v>
      </c>
      <c r="H135" s="24">
        <f t="shared" si="27"/>
        <v>9682359</v>
      </c>
      <c r="I135" s="24">
        <f>SUM(I136:I138)</f>
        <v>7994100</v>
      </c>
      <c r="J135" s="24">
        <f>SUM(J136:J138)</f>
        <v>844200</v>
      </c>
      <c r="K135" s="24">
        <f t="shared" si="24"/>
        <v>8838300</v>
      </c>
      <c r="L135" s="63">
        <f t="shared" si="26"/>
        <v>0.9128250667012037</v>
      </c>
    </row>
    <row r="136" spans="1:12" s="1" customFormat="1" ht="12">
      <c r="A136" s="46"/>
      <c r="B136" s="38" t="s">
        <v>139</v>
      </c>
      <c r="C136" s="13">
        <v>137591</v>
      </c>
      <c r="D136" s="13"/>
      <c r="E136" s="12">
        <f t="shared" si="28"/>
        <v>137591</v>
      </c>
      <c r="F136" s="13">
        <v>137591</v>
      </c>
      <c r="G136" s="13"/>
      <c r="H136" s="12">
        <f t="shared" si="27"/>
        <v>137591</v>
      </c>
      <c r="I136" s="13"/>
      <c r="J136" s="13"/>
      <c r="K136" s="24">
        <f aca="true" t="shared" si="29" ref="K136:K141">SUM(I136:J136)</f>
        <v>0</v>
      </c>
      <c r="L136" s="63">
        <f t="shared" si="26"/>
        <v>0</v>
      </c>
    </row>
    <row r="137" spans="1:12" s="1" customFormat="1" ht="11.25">
      <c r="A137" s="46"/>
      <c r="B137" s="10" t="s">
        <v>163</v>
      </c>
      <c r="C137" s="13">
        <v>339076</v>
      </c>
      <c r="D137" s="13"/>
      <c r="E137" s="12">
        <f t="shared" si="28"/>
        <v>339076</v>
      </c>
      <c r="F137" s="13">
        <v>339076</v>
      </c>
      <c r="G137" s="13"/>
      <c r="H137" s="12">
        <f t="shared" si="27"/>
        <v>339076</v>
      </c>
      <c r="I137" s="13"/>
      <c r="J137" s="13"/>
      <c r="K137" s="12">
        <f t="shared" si="29"/>
        <v>0</v>
      </c>
      <c r="L137" s="63">
        <f t="shared" si="26"/>
        <v>0</v>
      </c>
    </row>
    <row r="138" spans="1:12" s="2" customFormat="1" ht="11.25">
      <c r="A138" s="46"/>
      <c r="B138" s="38" t="s">
        <v>78</v>
      </c>
      <c r="C138" s="13">
        <f>SUM(C139:C145)</f>
        <v>8331250</v>
      </c>
      <c r="D138" s="13">
        <f>SUM(D139:D145)</f>
        <v>874442</v>
      </c>
      <c r="E138" s="12">
        <f t="shared" si="28"/>
        <v>9205692</v>
      </c>
      <c r="F138" s="13">
        <f>SUM(F139:F145)</f>
        <v>8331250</v>
      </c>
      <c r="G138" s="13">
        <f>SUM(G139:G145)</f>
        <v>874442</v>
      </c>
      <c r="H138" s="12">
        <f t="shared" si="27"/>
        <v>9205692</v>
      </c>
      <c r="I138" s="13">
        <f>SUM(I139:I145)</f>
        <v>7994100</v>
      </c>
      <c r="J138" s="13">
        <f>SUM(J139:J145)</f>
        <v>844200</v>
      </c>
      <c r="K138" s="12">
        <f t="shared" si="29"/>
        <v>8838300</v>
      </c>
      <c r="L138" s="63">
        <f aca="true" t="shared" si="30" ref="L138:L144">K138/H138</f>
        <v>0.9600907786182723</v>
      </c>
    </row>
    <row r="139" spans="1:12" s="19" customFormat="1" ht="11.25">
      <c r="A139" s="42"/>
      <c r="B139" s="53" t="s">
        <v>146</v>
      </c>
      <c r="C139" s="18">
        <f>930000+33200+180000</f>
        <v>1143200</v>
      </c>
      <c r="D139" s="18"/>
      <c r="E139" s="17">
        <f t="shared" si="28"/>
        <v>1143200</v>
      </c>
      <c r="F139" s="18">
        <f>930000+33200+180000</f>
        <v>1143200</v>
      </c>
      <c r="G139" s="18"/>
      <c r="H139" s="17">
        <f aca="true" t="shared" si="31" ref="H139:H145">SUM(F139:G139)</f>
        <v>1143200</v>
      </c>
      <c r="I139" s="18">
        <v>950000</v>
      </c>
      <c r="J139" s="18"/>
      <c r="K139" s="17">
        <f t="shared" si="29"/>
        <v>950000</v>
      </c>
      <c r="L139" s="63">
        <f t="shared" si="30"/>
        <v>0.831000699790063</v>
      </c>
    </row>
    <row r="140" spans="1:12" s="28" customFormat="1" ht="11.25">
      <c r="A140" s="47"/>
      <c r="B140" s="53" t="s">
        <v>151</v>
      </c>
      <c r="C140" s="18"/>
      <c r="D140" s="18">
        <f>844420-5402-53937-29961</f>
        <v>755120</v>
      </c>
      <c r="E140" s="17">
        <f t="shared" si="28"/>
        <v>755120</v>
      </c>
      <c r="F140" s="18"/>
      <c r="G140" s="18">
        <f>844420-5402-53937-29961</f>
        <v>755120</v>
      </c>
      <c r="H140" s="17">
        <f t="shared" si="31"/>
        <v>755120</v>
      </c>
      <c r="I140" s="18"/>
      <c r="J140" s="18">
        <v>723600</v>
      </c>
      <c r="K140" s="17">
        <f t="shared" si="29"/>
        <v>723600</v>
      </c>
      <c r="L140" s="63">
        <f t="shared" si="30"/>
        <v>0.9582582900731009</v>
      </c>
    </row>
    <row r="141" spans="1:12" s="28" customFormat="1" ht="11.25">
      <c r="A141" s="47"/>
      <c r="B141" s="53" t="s">
        <v>79</v>
      </c>
      <c r="C141" s="55"/>
      <c r="D141" s="18">
        <f>150240-33168+1458+792</f>
        <v>119322</v>
      </c>
      <c r="E141" s="17">
        <f t="shared" si="28"/>
        <v>119322</v>
      </c>
      <c r="F141" s="55"/>
      <c r="G141" s="18">
        <f>150240-33168+1458+792</f>
        <v>119322</v>
      </c>
      <c r="H141" s="17">
        <f t="shared" si="31"/>
        <v>119322</v>
      </c>
      <c r="I141" s="55"/>
      <c r="J141" s="18">
        <v>120600</v>
      </c>
      <c r="K141" s="17">
        <f t="shared" si="29"/>
        <v>120600</v>
      </c>
      <c r="L141" s="63">
        <f t="shared" si="30"/>
        <v>1.0107105144063961</v>
      </c>
    </row>
    <row r="142" spans="1:12" s="28" customFormat="1" ht="11.25">
      <c r="A142" s="47"/>
      <c r="B142" s="54" t="s">
        <v>122</v>
      </c>
      <c r="C142" s="18">
        <v>388780</v>
      </c>
      <c r="D142" s="18"/>
      <c r="E142" s="17">
        <f t="shared" si="28"/>
        <v>388780</v>
      </c>
      <c r="F142" s="18">
        <v>388780</v>
      </c>
      <c r="G142" s="18"/>
      <c r="H142" s="17">
        <f t="shared" si="31"/>
        <v>388780</v>
      </c>
      <c r="I142" s="18">
        <v>606700</v>
      </c>
      <c r="J142" s="18"/>
      <c r="K142" s="17">
        <f>SUM(I142:J142)</f>
        <v>606700</v>
      </c>
      <c r="L142" s="63">
        <f t="shared" si="30"/>
        <v>1.5605226606306908</v>
      </c>
    </row>
    <row r="143" spans="1:12" s="4" customFormat="1" ht="11.25">
      <c r="A143" s="43"/>
      <c r="B143" s="54" t="s">
        <v>80</v>
      </c>
      <c r="C143" s="18">
        <f>192400+7500+10000</f>
        <v>209900</v>
      </c>
      <c r="D143" s="18"/>
      <c r="E143" s="17">
        <f t="shared" si="28"/>
        <v>209900</v>
      </c>
      <c r="F143" s="18">
        <f>192400+7500+10000</f>
        <v>209900</v>
      </c>
      <c r="G143" s="18"/>
      <c r="H143" s="17">
        <f t="shared" si="31"/>
        <v>209900</v>
      </c>
      <c r="I143" s="18">
        <v>141000</v>
      </c>
      <c r="J143" s="18"/>
      <c r="K143" s="17">
        <f>SUM(I143:J143)</f>
        <v>141000</v>
      </c>
      <c r="L143" s="63">
        <f t="shared" si="30"/>
        <v>0.6717484516436398</v>
      </c>
    </row>
    <row r="144" spans="1:12" s="4" customFormat="1" ht="11.25">
      <c r="A144" s="43"/>
      <c r="B144" s="54" t="s">
        <v>134</v>
      </c>
      <c r="C144" s="18">
        <f>4800000+80000</f>
        <v>4880000</v>
      </c>
      <c r="D144" s="18"/>
      <c r="E144" s="17">
        <f t="shared" si="28"/>
        <v>4880000</v>
      </c>
      <c r="F144" s="18">
        <f>4800000+80000</f>
        <v>4880000</v>
      </c>
      <c r="G144" s="18"/>
      <c r="H144" s="17">
        <f t="shared" si="31"/>
        <v>4880000</v>
      </c>
      <c r="I144" s="18">
        <v>4853400</v>
      </c>
      <c r="J144" s="18"/>
      <c r="K144" s="17">
        <f>SUM(I144:J144)</f>
        <v>4853400</v>
      </c>
      <c r="L144" s="63">
        <f t="shared" si="30"/>
        <v>0.9945491803278689</v>
      </c>
    </row>
    <row r="145" spans="1:12" s="4" customFormat="1" ht="11.25">
      <c r="A145" s="43"/>
      <c r="B145" s="54" t="s">
        <v>81</v>
      </c>
      <c r="C145" s="18">
        <f>1443300+145070+121000</f>
        <v>1709370</v>
      </c>
      <c r="D145" s="18"/>
      <c r="E145" s="17">
        <f t="shared" si="28"/>
        <v>1709370</v>
      </c>
      <c r="F145" s="18">
        <f>1443300+145070+121000</f>
        <v>1709370</v>
      </c>
      <c r="G145" s="18"/>
      <c r="H145" s="17">
        <f t="shared" si="31"/>
        <v>1709370</v>
      </c>
      <c r="I145" s="18">
        <v>1443000</v>
      </c>
      <c r="J145" s="18"/>
      <c r="K145" s="17">
        <f>SUM(I145:J145)</f>
        <v>1443000</v>
      </c>
      <c r="L145" s="63">
        <f>K145/H145</f>
        <v>0.8441706593657312</v>
      </c>
    </row>
    <row r="147" spans="3:9" ht="11.25">
      <c r="C147" s="60" t="s">
        <v>160</v>
      </c>
      <c r="F147" s="60" t="s">
        <v>160</v>
      </c>
      <c r="I147" s="60" t="s">
        <v>160</v>
      </c>
    </row>
  </sheetData>
  <mergeCells count="10">
    <mergeCell ref="A2:A3"/>
    <mergeCell ref="B2:B3"/>
    <mergeCell ref="A1:L1"/>
    <mergeCell ref="I2:L2"/>
    <mergeCell ref="C2:E3"/>
    <mergeCell ref="F2:H3"/>
    <mergeCell ref="A104:B104"/>
    <mergeCell ref="A107:B107"/>
    <mergeCell ref="A5:B5"/>
    <mergeCell ref="A6:B6"/>
  </mergeCells>
  <printOptions/>
  <pageMargins left="0.74" right="0.17" top="0.72" bottom="0.4" header="0.5" footer="0.1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pane xSplit="2" ySplit="4" topLeftCell="E7" activePane="bottomRight" state="frozen"/>
      <selection pane="topLeft" activeCell="A27" sqref="A27:B27"/>
      <selection pane="topRight" activeCell="A27" sqref="A27:B27"/>
      <selection pane="bottomLeft" activeCell="A27" sqref="A27:B27"/>
      <selection pane="bottomRight" activeCell="E34" sqref="E34"/>
    </sheetView>
  </sheetViews>
  <sheetFormatPr defaultColWidth="9.140625" defaultRowHeight="12"/>
  <cols>
    <col min="1" max="1" width="4.140625" style="75" customWidth="1"/>
    <col min="2" max="2" width="62.421875" style="75" customWidth="1"/>
    <col min="3" max="3" width="14.00390625" style="120" hidden="1" customWidth="1"/>
    <col min="4" max="4" width="13.7109375" style="120" hidden="1" customWidth="1"/>
    <col min="5" max="5" width="15.140625" style="75" customWidth="1"/>
    <col min="6" max="6" width="14.28125" style="120" hidden="1" customWidth="1"/>
    <col min="7" max="7" width="13.7109375" style="120" hidden="1" customWidth="1"/>
    <col min="8" max="8" width="15.8515625" style="75" customWidth="1"/>
    <col min="9" max="9" width="1.421875" style="120" hidden="1" customWidth="1"/>
    <col min="10" max="10" width="1.1484375" style="120" hidden="1" customWidth="1"/>
    <col min="11" max="11" width="15.28125" style="75" customWidth="1"/>
    <col min="12" max="12" width="9.7109375" style="75" customWidth="1"/>
    <col min="13" max="33" width="9.28125" style="75" customWidth="1"/>
    <col min="34" max="16384" width="9.140625" style="75" customWidth="1"/>
  </cols>
  <sheetData>
    <row r="1" spans="1:12" s="96" customFormat="1" ht="52.5" customHeight="1">
      <c r="A1" s="162" t="s">
        <v>86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2" s="56" customFormat="1" ht="11.25">
      <c r="A2" s="138" t="s">
        <v>8</v>
      </c>
      <c r="B2" s="139" t="s">
        <v>101</v>
      </c>
      <c r="C2" s="138" t="s">
        <v>14</v>
      </c>
      <c r="D2" s="138"/>
      <c r="E2" s="138"/>
      <c r="F2" s="138" t="s">
        <v>7</v>
      </c>
      <c r="G2" s="138"/>
      <c r="H2" s="138"/>
      <c r="I2" s="151" t="s">
        <v>170</v>
      </c>
      <c r="J2" s="152"/>
      <c r="K2" s="152"/>
      <c r="L2" s="153"/>
    </row>
    <row r="3" spans="1:12" s="56" customFormat="1" ht="33.75">
      <c r="A3" s="138"/>
      <c r="B3" s="139"/>
      <c r="C3" s="138"/>
      <c r="D3" s="138"/>
      <c r="E3" s="138"/>
      <c r="F3" s="138"/>
      <c r="G3" s="138"/>
      <c r="H3" s="138"/>
      <c r="I3" s="98"/>
      <c r="J3" s="98"/>
      <c r="K3" s="98" t="s">
        <v>13</v>
      </c>
      <c r="L3" s="3" t="s">
        <v>94</v>
      </c>
    </row>
    <row r="4" spans="1:15" s="127" customFormat="1" ht="11.25">
      <c r="A4" s="124">
        <v>1</v>
      </c>
      <c r="B4" s="124">
        <v>2</v>
      </c>
      <c r="C4" s="125"/>
      <c r="D4" s="125"/>
      <c r="E4" s="125">
        <v>3</v>
      </c>
      <c r="F4" s="125"/>
      <c r="G4" s="125"/>
      <c r="H4" s="125">
        <v>4</v>
      </c>
      <c r="I4" s="125"/>
      <c r="J4" s="125"/>
      <c r="K4" s="125">
        <v>5</v>
      </c>
      <c r="L4" s="125"/>
      <c r="M4" s="126"/>
      <c r="N4" s="126"/>
      <c r="O4" s="126"/>
    </row>
    <row r="5" spans="1:15" s="100" customFormat="1" ht="12.75">
      <c r="A5" s="154" t="s">
        <v>88</v>
      </c>
      <c r="B5" s="155"/>
      <c r="C5" s="99">
        <f>SUM(C6,C25)</f>
        <v>110861684</v>
      </c>
      <c r="D5" s="99">
        <f>SUM(D6,D25)</f>
        <v>26858861</v>
      </c>
      <c r="E5" s="97">
        <f aca="true" t="shared" si="0" ref="E5:E30">SUM(C5:D5)</f>
        <v>137720545</v>
      </c>
      <c r="F5" s="99">
        <f>SUM(F6,F25)</f>
        <v>110861684</v>
      </c>
      <c r="G5" s="99">
        <f>SUM(G6,G25)</f>
        <v>26858861</v>
      </c>
      <c r="H5" s="99">
        <f aca="true" t="shared" si="1" ref="H5:H30">SUM(F5:G5)</f>
        <v>137720545</v>
      </c>
      <c r="I5" s="99">
        <f>SUM(I6,I25)</f>
        <v>106481220</v>
      </c>
      <c r="J5" s="99">
        <f>SUM(J6,J25)</f>
        <v>11019240</v>
      </c>
      <c r="K5" s="99">
        <f aca="true" t="shared" si="2" ref="K5:K30">SUM(I5:J5)</f>
        <v>117500460</v>
      </c>
      <c r="L5" s="86">
        <f aca="true" t="shared" si="3" ref="L5:L20">K5/H5</f>
        <v>0.853180329775779</v>
      </c>
      <c r="M5" s="101"/>
      <c r="N5" s="101"/>
      <c r="O5" s="101"/>
    </row>
    <row r="6" spans="1:15" s="100" customFormat="1" ht="12.75">
      <c r="A6" s="160" t="s">
        <v>93</v>
      </c>
      <c r="B6" s="161"/>
      <c r="C6" s="99">
        <f>SUM(C7,C11,C14,C18)</f>
        <v>110237674</v>
      </c>
      <c r="D6" s="99">
        <f>SUM(D7,D11,D14,D18)</f>
        <v>26358861</v>
      </c>
      <c r="E6" s="97">
        <f t="shared" si="0"/>
        <v>136596535</v>
      </c>
      <c r="F6" s="99">
        <f>SUM(F7,F11,F14,F18)</f>
        <v>110237674</v>
      </c>
      <c r="G6" s="99">
        <f>SUM(G7,G11,G14,G18)</f>
        <v>26358861</v>
      </c>
      <c r="H6" s="99">
        <f t="shared" si="1"/>
        <v>136596535</v>
      </c>
      <c r="I6" s="99">
        <f>SUM(I7,I11,I14,I18)</f>
        <v>106481220</v>
      </c>
      <c r="J6" s="99">
        <f>SUM(J7,J11,J14,J18)</f>
        <v>11019240</v>
      </c>
      <c r="K6" s="99">
        <f t="shared" si="2"/>
        <v>117500460</v>
      </c>
      <c r="L6" s="86">
        <f t="shared" si="3"/>
        <v>0.8602008828408422</v>
      </c>
      <c r="M6" s="101"/>
      <c r="N6" s="101"/>
      <c r="O6" s="101"/>
    </row>
    <row r="7" spans="1:12" s="104" customFormat="1" ht="12">
      <c r="A7" s="87">
        <v>1</v>
      </c>
      <c r="B7" s="85" t="s">
        <v>107</v>
      </c>
      <c r="C7" s="102">
        <f>SUM(C8:C10)</f>
        <v>95175902</v>
      </c>
      <c r="D7" s="102">
        <f>SUM(D8:D10)</f>
        <v>5980</v>
      </c>
      <c r="E7" s="103">
        <f t="shared" si="0"/>
        <v>95181882</v>
      </c>
      <c r="F7" s="102">
        <f>SUM(F8:F10)</f>
        <v>95175902</v>
      </c>
      <c r="G7" s="102">
        <f>SUM(G8:G10)</f>
        <v>5980</v>
      </c>
      <c r="H7" s="103">
        <f t="shared" si="1"/>
        <v>95181882</v>
      </c>
      <c r="I7" s="102">
        <f>SUM(I8:I10)</f>
        <v>44975000</v>
      </c>
      <c r="J7" s="102">
        <f>SUM(J8:J10)</f>
        <v>0</v>
      </c>
      <c r="K7" s="103">
        <f t="shared" si="2"/>
        <v>44975000</v>
      </c>
      <c r="L7" s="86">
        <f t="shared" si="3"/>
        <v>0.47251639760600656</v>
      </c>
    </row>
    <row r="8" spans="1:12" s="90" customFormat="1" ht="11.25">
      <c r="A8" s="57"/>
      <c r="B8" s="72" t="s">
        <v>27</v>
      </c>
      <c r="C8" s="105">
        <f>31300000+59500000</f>
        <v>90800000</v>
      </c>
      <c r="D8" s="105"/>
      <c r="E8" s="83">
        <f t="shared" si="0"/>
        <v>90800000</v>
      </c>
      <c r="F8" s="105">
        <f>31300000+59500000</f>
        <v>90800000</v>
      </c>
      <c r="G8" s="105"/>
      <c r="H8" s="83">
        <f t="shared" si="1"/>
        <v>90800000</v>
      </c>
      <c r="I8" s="105">
        <v>41000000</v>
      </c>
      <c r="J8" s="105"/>
      <c r="K8" s="83">
        <f t="shared" si="2"/>
        <v>41000000</v>
      </c>
      <c r="L8" s="86">
        <f t="shared" si="3"/>
        <v>0.45154185022026433</v>
      </c>
    </row>
    <row r="9" spans="1:12" s="90" customFormat="1" ht="11.25">
      <c r="A9" s="57"/>
      <c r="B9" s="72" t="s">
        <v>87</v>
      </c>
      <c r="C9" s="105">
        <v>3900000</v>
      </c>
      <c r="D9" s="105"/>
      <c r="E9" s="83">
        <f t="shared" si="0"/>
        <v>3900000</v>
      </c>
      <c r="F9" s="105">
        <v>3900000</v>
      </c>
      <c r="G9" s="105"/>
      <c r="H9" s="83">
        <f t="shared" si="1"/>
        <v>3900000</v>
      </c>
      <c r="I9" s="105">
        <v>3500000</v>
      </c>
      <c r="J9" s="105"/>
      <c r="K9" s="83">
        <f t="shared" si="2"/>
        <v>3500000</v>
      </c>
      <c r="L9" s="86">
        <f t="shared" si="3"/>
        <v>0.8974358974358975</v>
      </c>
    </row>
    <row r="10" spans="1:12" s="90" customFormat="1" ht="11.25">
      <c r="A10" s="57"/>
      <c r="B10" s="72" t="s">
        <v>32</v>
      </c>
      <c r="C10" s="105">
        <f>475000+902</f>
        <v>475902</v>
      </c>
      <c r="D10" s="105">
        <v>5980</v>
      </c>
      <c r="E10" s="83">
        <f t="shared" si="0"/>
        <v>481882</v>
      </c>
      <c r="F10" s="105">
        <f>475000+902</f>
        <v>475902</v>
      </c>
      <c r="G10" s="105">
        <v>5980</v>
      </c>
      <c r="H10" s="83">
        <f t="shared" si="1"/>
        <v>481882</v>
      </c>
      <c r="I10" s="105">
        <v>475000</v>
      </c>
      <c r="J10" s="105"/>
      <c r="K10" s="83">
        <f t="shared" si="2"/>
        <v>475000</v>
      </c>
      <c r="L10" s="86">
        <f t="shared" si="3"/>
        <v>0.9857184953992886</v>
      </c>
    </row>
    <row r="11" spans="1:12" s="89" customFormat="1" ht="12">
      <c r="A11" s="87">
        <v>2</v>
      </c>
      <c r="B11" s="85" t="s">
        <v>108</v>
      </c>
      <c r="C11" s="83">
        <f>SUM(C12:C13)</f>
        <v>609805</v>
      </c>
      <c r="D11" s="83">
        <f>SUM(D12:D13)</f>
        <v>385727</v>
      </c>
      <c r="E11" s="83">
        <f t="shared" si="0"/>
        <v>995532</v>
      </c>
      <c r="F11" s="83">
        <f>SUM(F12:F13)</f>
        <v>609805</v>
      </c>
      <c r="G11" s="83">
        <f>SUM(G12:G13)</f>
        <v>385727</v>
      </c>
      <c r="H11" s="83">
        <f t="shared" si="1"/>
        <v>995532</v>
      </c>
      <c r="I11" s="83">
        <f>SUM(I12:I13)</f>
        <v>0</v>
      </c>
      <c r="J11" s="83">
        <f>SUM(J12:J13)</f>
        <v>0</v>
      </c>
      <c r="K11" s="83">
        <f t="shared" si="2"/>
        <v>0</v>
      </c>
      <c r="L11" s="86">
        <f t="shared" si="3"/>
        <v>0</v>
      </c>
    </row>
    <row r="12" spans="1:12" s="90" customFormat="1" ht="22.5">
      <c r="A12" s="92"/>
      <c r="B12" s="71" t="s">
        <v>56</v>
      </c>
      <c r="C12" s="106">
        <v>609805</v>
      </c>
      <c r="D12" s="106"/>
      <c r="E12" s="83">
        <f t="shared" si="0"/>
        <v>609805</v>
      </c>
      <c r="F12" s="106">
        <v>609805</v>
      </c>
      <c r="G12" s="106"/>
      <c r="H12" s="83">
        <f t="shared" si="1"/>
        <v>609805</v>
      </c>
      <c r="I12" s="106"/>
      <c r="J12" s="106"/>
      <c r="K12" s="83">
        <f t="shared" si="2"/>
        <v>0</v>
      </c>
      <c r="L12" s="86">
        <f t="shared" si="3"/>
        <v>0</v>
      </c>
    </row>
    <row r="13" spans="1:12" s="90" customFormat="1" ht="22.5">
      <c r="A13" s="92"/>
      <c r="B13" s="71" t="s">
        <v>142</v>
      </c>
      <c r="C13" s="105"/>
      <c r="D13" s="105">
        <f>155147+43920+186660</f>
        <v>385727</v>
      </c>
      <c r="E13" s="83">
        <f t="shared" si="0"/>
        <v>385727</v>
      </c>
      <c r="F13" s="105"/>
      <c r="G13" s="105">
        <f>155147+43920+186660</f>
        <v>385727</v>
      </c>
      <c r="H13" s="83">
        <f t="shared" si="1"/>
        <v>385727</v>
      </c>
      <c r="I13" s="105"/>
      <c r="J13" s="105"/>
      <c r="K13" s="83">
        <f t="shared" si="2"/>
        <v>0</v>
      </c>
      <c r="L13" s="86">
        <f t="shared" si="3"/>
        <v>0</v>
      </c>
    </row>
    <row r="14" spans="1:12" s="104" customFormat="1" ht="24">
      <c r="A14" s="87">
        <v>3</v>
      </c>
      <c r="B14" s="85" t="s">
        <v>55</v>
      </c>
      <c r="C14" s="102">
        <f>SUM(C15:C17)</f>
        <v>2069076</v>
      </c>
      <c r="D14" s="102">
        <f>SUM(D15:D17)</f>
        <v>0</v>
      </c>
      <c r="E14" s="103">
        <f t="shared" si="0"/>
        <v>2069076</v>
      </c>
      <c r="F14" s="102">
        <f>SUM(F15:F17)</f>
        <v>2069076</v>
      </c>
      <c r="G14" s="102">
        <f>SUM(G15:G17)</f>
        <v>0</v>
      </c>
      <c r="H14" s="103">
        <f t="shared" si="1"/>
        <v>2069076</v>
      </c>
      <c r="I14" s="102">
        <f>SUM(I15:I17)</f>
        <v>4994829</v>
      </c>
      <c r="J14" s="102">
        <f>SUM(J15:J17)</f>
        <v>0</v>
      </c>
      <c r="K14" s="103">
        <f t="shared" si="2"/>
        <v>4994829</v>
      </c>
      <c r="L14" s="86">
        <f t="shared" si="3"/>
        <v>2.4140384403472854</v>
      </c>
    </row>
    <row r="15" spans="1:12" s="76" customFormat="1" ht="22.5">
      <c r="A15" s="107"/>
      <c r="B15" s="108" t="s">
        <v>111</v>
      </c>
      <c r="C15" s="109">
        <f>2644736-1440660</f>
        <v>1204076</v>
      </c>
      <c r="D15" s="109"/>
      <c r="E15" s="83">
        <f t="shared" si="0"/>
        <v>1204076</v>
      </c>
      <c r="F15" s="105">
        <f>2644736-1440660</f>
        <v>1204076</v>
      </c>
      <c r="G15" s="105"/>
      <c r="H15" s="83">
        <f t="shared" si="1"/>
        <v>1204076</v>
      </c>
      <c r="I15" s="105">
        <f>43717+4951112</f>
        <v>4994829</v>
      </c>
      <c r="J15" s="105"/>
      <c r="K15" s="83">
        <f t="shared" si="2"/>
        <v>4994829</v>
      </c>
      <c r="L15" s="86">
        <f t="shared" si="3"/>
        <v>4.148267219012753</v>
      </c>
    </row>
    <row r="16" spans="1:12" ht="22.5">
      <c r="A16" s="95"/>
      <c r="B16" s="71" t="s">
        <v>2</v>
      </c>
      <c r="C16" s="105">
        <v>65000</v>
      </c>
      <c r="D16" s="110"/>
      <c r="E16" s="83">
        <f t="shared" si="0"/>
        <v>65000</v>
      </c>
      <c r="F16" s="110">
        <v>65000</v>
      </c>
      <c r="G16" s="110"/>
      <c r="H16" s="83">
        <f t="shared" si="1"/>
        <v>65000</v>
      </c>
      <c r="I16" s="110"/>
      <c r="J16" s="110"/>
      <c r="K16" s="83">
        <f t="shared" si="2"/>
        <v>0</v>
      </c>
      <c r="L16" s="86">
        <f t="shared" si="3"/>
        <v>0</v>
      </c>
    </row>
    <row r="17" spans="1:12" s="90" customFormat="1" ht="11.25">
      <c r="A17" s="92"/>
      <c r="B17" s="71" t="s">
        <v>102</v>
      </c>
      <c r="C17" s="105">
        <v>800000</v>
      </c>
      <c r="D17" s="105"/>
      <c r="E17" s="83">
        <f t="shared" si="0"/>
        <v>800000</v>
      </c>
      <c r="F17" s="105">
        <v>800000</v>
      </c>
      <c r="G17" s="105"/>
      <c r="H17" s="83">
        <f t="shared" si="1"/>
        <v>800000</v>
      </c>
      <c r="I17" s="105"/>
      <c r="J17" s="105"/>
      <c r="K17" s="83">
        <f t="shared" si="2"/>
        <v>0</v>
      </c>
      <c r="L17" s="86">
        <f t="shared" si="3"/>
        <v>0</v>
      </c>
    </row>
    <row r="18" spans="1:12" s="104" customFormat="1" ht="12">
      <c r="A18" s="87">
        <v>4</v>
      </c>
      <c r="B18" s="85" t="s">
        <v>57</v>
      </c>
      <c r="C18" s="103">
        <f>SUM(C19:C24)</f>
        <v>12382891</v>
      </c>
      <c r="D18" s="103">
        <f>SUM(D19:D24)</f>
        <v>25967154</v>
      </c>
      <c r="E18" s="103">
        <f t="shared" si="0"/>
        <v>38350045</v>
      </c>
      <c r="F18" s="103">
        <f>SUM(F19:F24)</f>
        <v>12382891</v>
      </c>
      <c r="G18" s="103">
        <f>SUM(G19:G24)</f>
        <v>25967154</v>
      </c>
      <c r="H18" s="103">
        <f t="shared" si="1"/>
        <v>38350045</v>
      </c>
      <c r="I18" s="103">
        <f>SUM(I19:I24)</f>
        <v>56511391</v>
      </c>
      <c r="J18" s="103">
        <f>SUM(J19:J24)</f>
        <v>11019240</v>
      </c>
      <c r="K18" s="103">
        <f t="shared" si="2"/>
        <v>67530631</v>
      </c>
      <c r="L18" s="86">
        <f t="shared" si="3"/>
        <v>1.7609009585256028</v>
      </c>
    </row>
    <row r="19" spans="1:12" s="94" customFormat="1" ht="22.5">
      <c r="A19" s="107"/>
      <c r="B19" s="108" t="s">
        <v>0</v>
      </c>
      <c r="C19" s="109"/>
      <c r="D19" s="109">
        <v>1774384</v>
      </c>
      <c r="E19" s="83">
        <f t="shared" si="0"/>
        <v>1774384</v>
      </c>
      <c r="F19" s="105"/>
      <c r="G19" s="105">
        <v>1774384</v>
      </c>
      <c r="H19" s="83">
        <f t="shared" si="1"/>
        <v>1774384</v>
      </c>
      <c r="I19" s="105"/>
      <c r="J19" s="105">
        <v>7669789</v>
      </c>
      <c r="K19" s="83">
        <f t="shared" si="2"/>
        <v>7669789</v>
      </c>
      <c r="L19" s="86">
        <f t="shared" si="3"/>
        <v>4.322507980234267</v>
      </c>
    </row>
    <row r="20" spans="1:12" s="94" customFormat="1" ht="22.5">
      <c r="A20" s="93"/>
      <c r="B20" s="74" t="s">
        <v>150</v>
      </c>
      <c r="C20" s="105"/>
      <c r="D20" s="105">
        <f>20000000+3801225+391545</f>
        <v>24192770</v>
      </c>
      <c r="E20" s="83">
        <f t="shared" si="0"/>
        <v>24192770</v>
      </c>
      <c r="F20" s="105"/>
      <c r="G20" s="105">
        <f>20000000+3801225+391545</f>
        <v>24192770</v>
      </c>
      <c r="H20" s="83">
        <f t="shared" si="1"/>
        <v>24192770</v>
      </c>
      <c r="I20" s="105"/>
      <c r="J20" s="105">
        <v>3349451</v>
      </c>
      <c r="K20" s="83">
        <f t="shared" si="2"/>
        <v>3349451</v>
      </c>
      <c r="L20" s="86">
        <f t="shared" si="3"/>
        <v>0.13844842901412283</v>
      </c>
    </row>
    <row r="21" spans="1:12" s="94" customFormat="1" ht="11.25">
      <c r="A21" s="93"/>
      <c r="B21" s="71" t="s">
        <v>3</v>
      </c>
      <c r="C21" s="105"/>
      <c r="D21" s="105"/>
      <c r="E21" s="83">
        <f t="shared" si="0"/>
        <v>0</v>
      </c>
      <c r="F21" s="105"/>
      <c r="G21" s="105"/>
      <c r="H21" s="83">
        <f t="shared" si="1"/>
        <v>0</v>
      </c>
      <c r="I21" s="105">
        <f>4377146-822362-338955</f>
        <v>3215829</v>
      </c>
      <c r="J21" s="105"/>
      <c r="K21" s="83">
        <f t="shared" si="2"/>
        <v>3215829</v>
      </c>
      <c r="L21" s="86"/>
    </row>
    <row r="22" spans="1:12" s="94" customFormat="1" ht="11.25">
      <c r="A22" s="93"/>
      <c r="B22" s="71" t="s">
        <v>129</v>
      </c>
      <c r="C22" s="105"/>
      <c r="D22" s="111"/>
      <c r="E22" s="83">
        <f t="shared" si="0"/>
        <v>0</v>
      </c>
      <c r="F22" s="105"/>
      <c r="G22" s="111"/>
      <c r="H22" s="83">
        <f t="shared" si="1"/>
        <v>0</v>
      </c>
      <c r="I22" s="105">
        <f>63750</f>
        <v>63750</v>
      </c>
      <c r="J22" s="111"/>
      <c r="K22" s="83">
        <f t="shared" si="2"/>
        <v>63750</v>
      </c>
      <c r="L22" s="86"/>
    </row>
    <row r="23" spans="1:12" s="94" customFormat="1" ht="22.5">
      <c r="A23" s="93"/>
      <c r="B23" s="74" t="s">
        <v>141</v>
      </c>
      <c r="C23" s="105">
        <f>14986840+6658628-12188127</f>
        <v>9457341</v>
      </c>
      <c r="D23" s="111"/>
      <c r="E23" s="83">
        <f t="shared" si="0"/>
        <v>9457341</v>
      </c>
      <c r="F23" s="105">
        <f>14986840+6658628-12188127</f>
        <v>9457341</v>
      </c>
      <c r="G23" s="111"/>
      <c r="H23" s="83">
        <f t="shared" si="1"/>
        <v>9457341</v>
      </c>
      <c r="I23" s="105">
        <v>49372512</v>
      </c>
      <c r="J23" s="111"/>
      <c r="K23" s="83">
        <f t="shared" si="2"/>
        <v>49372512</v>
      </c>
      <c r="L23" s="86">
        <f aca="true" t="shared" si="4" ref="L23:L30">K23/H23</f>
        <v>5.220548989404104</v>
      </c>
    </row>
    <row r="24" spans="1:12" s="94" customFormat="1" ht="33.75">
      <c r="A24" s="93"/>
      <c r="B24" s="73" t="s">
        <v>153</v>
      </c>
      <c r="C24" s="105">
        <v>2925550</v>
      </c>
      <c r="D24" s="111"/>
      <c r="E24" s="83">
        <f t="shared" si="0"/>
        <v>2925550</v>
      </c>
      <c r="F24" s="105">
        <v>2925550</v>
      </c>
      <c r="G24" s="111"/>
      <c r="H24" s="83">
        <f t="shared" si="1"/>
        <v>2925550</v>
      </c>
      <c r="I24" s="105">
        <v>3859300</v>
      </c>
      <c r="J24" s="111"/>
      <c r="K24" s="83">
        <f t="shared" si="2"/>
        <v>3859300</v>
      </c>
      <c r="L24" s="86">
        <f t="shared" si="4"/>
        <v>1.3191707542171558</v>
      </c>
    </row>
    <row r="25" spans="1:12" s="113" customFormat="1" ht="15">
      <c r="A25" s="158" t="s">
        <v>109</v>
      </c>
      <c r="B25" s="159"/>
      <c r="C25" s="112">
        <f>SUM(C26+C29)</f>
        <v>624010</v>
      </c>
      <c r="D25" s="112">
        <f>SUM(D26+D29)</f>
        <v>500000</v>
      </c>
      <c r="E25" s="112">
        <f t="shared" si="0"/>
        <v>1124010</v>
      </c>
      <c r="F25" s="112">
        <f>SUM(F26+F29)</f>
        <v>624010</v>
      </c>
      <c r="G25" s="112">
        <f>SUM(G26+G29)</f>
        <v>500000</v>
      </c>
      <c r="H25" s="112">
        <f t="shared" si="1"/>
        <v>1124010</v>
      </c>
      <c r="I25" s="112">
        <f>SUM(I26+I29)</f>
        <v>0</v>
      </c>
      <c r="J25" s="112">
        <f>SUM(J26+J29)</f>
        <v>0</v>
      </c>
      <c r="K25" s="112">
        <f t="shared" si="2"/>
        <v>0</v>
      </c>
      <c r="L25" s="86">
        <f t="shared" si="4"/>
        <v>0</v>
      </c>
    </row>
    <row r="26" spans="1:12" s="84" customFormat="1" ht="15">
      <c r="A26" s="80"/>
      <c r="B26" s="81" t="s">
        <v>64</v>
      </c>
      <c r="C26" s="79">
        <f>SUM(C27:C28)</f>
        <v>150000</v>
      </c>
      <c r="D26" s="79">
        <f>SUM(D27:D28)</f>
        <v>500000</v>
      </c>
      <c r="E26" s="79">
        <f t="shared" si="0"/>
        <v>650000</v>
      </c>
      <c r="F26" s="79">
        <f>SUM(F27:F28)</f>
        <v>150000</v>
      </c>
      <c r="G26" s="79">
        <f>SUM(G27:G28)</f>
        <v>500000</v>
      </c>
      <c r="H26" s="83">
        <f t="shared" si="1"/>
        <v>650000</v>
      </c>
      <c r="I26" s="79">
        <f>SUM(I27)</f>
        <v>0</v>
      </c>
      <c r="J26" s="79">
        <f>SUM(J27)</f>
        <v>0</v>
      </c>
      <c r="K26" s="83">
        <f t="shared" si="2"/>
        <v>0</v>
      </c>
      <c r="L26" s="86">
        <f t="shared" si="4"/>
        <v>0</v>
      </c>
    </row>
    <row r="27" spans="1:12" s="116" customFormat="1" ht="15">
      <c r="A27" s="80"/>
      <c r="B27" s="114" t="s">
        <v>66</v>
      </c>
      <c r="C27" s="115">
        <v>150000</v>
      </c>
      <c r="D27" s="115"/>
      <c r="E27" s="115">
        <f t="shared" si="0"/>
        <v>150000</v>
      </c>
      <c r="F27" s="110">
        <v>150000</v>
      </c>
      <c r="G27" s="110"/>
      <c r="H27" s="110">
        <f t="shared" si="1"/>
        <v>150000</v>
      </c>
      <c r="I27" s="110"/>
      <c r="J27" s="110"/>
      <c r="K27" s="110">
        <f t="shared" si="2"/>
        <v>0</v>
      </c>
      <c r="L27" s="86">
        <f t="shared" si="4"/>
        <v>0</v>
      </c>
    </row>
    <row r="28" spans="1:12" s="116" customFormat="1" ht="22.5">
      <c r="A28" s="80"/>
      <c r="B28" s="117" t="s">
        <v>114</v>
      </c>
      <c r="C28" s="115"/>
      <c r="D28" s="115">
        <v>500000</v>
      </c>
      <c r="E28" s="115">
        <f t="shared" si="0"/>
        <v>500000</v>
      </c>
      <c r="F28" s="110"/>
      <c r="G28" s="110">
        <v>500000</v>
      </c>
      <c r="H28" s="110">
        <f t="shared" si="1"/>
        <v>500000</v>
      </c>
      <c r="I28" s="110"/>
      <c r="J28" s="110"/>
      <c r="K28" s="110">
        <f t="shared" si="2"/>
        <v>0</v>
      </c>
      <c r="L28" s="86">
        <f t="shared" si="4"/>
        <v>0</v>
      </c>
    </row>
    <row r="29" spans="1:12" s="84" customFormat="1" ht="12">
      <c r="A29" s="82"/>
      <c r="B29" s="85" t="s">
        <v>77</v>
      </c>
      <c r="C29" s="79">
        <f>SUM(C30)</f>
        <v>474010</v>
      </c>
      <c r="D29" s="79">
        <f>SUM(D30)</f>
        <v>0</v>
      </c>
      <c r="E29" s="79">
        <f t="shared" si="0"/>
        <v>474010</v>
      </c>
      <c r="F29" s="79">
        <f>SUM(F30)</f>
        <v>474010</v>
      </c>
      <c r="G29" s="79">
        <f>SUM(G30)</f>
        <v>0</v>
      </c>
      <c r="H29" s="83">
        <f t="shared" si="1"/>
        <v>474010</v>
      </c>
      <c r="I29" s="79">
        <f>SUM(I30)</f>
        <v>0</v>
      </c>
      <c r="J29" s="79">
        <f>SUM(J30)</f>
        <v>0</v>
      </c>
      <c r="K29" s="83">
        <f t="shared" si="2"/>
        <v>0</v>
      </c>
      <c r="L29" s="86">
        <f t="shared" si="4"/>
        <v>0</v>
      </c>
    </row>
    <row r="30" spans="1:12" s="119" customFormat="1" ht="11.25">
      <c r="A30" s="93"/>
      <c r="B30" s="118" t="s">
        <v>156</v>
      </c>
      <c r="C30" s="105">
        <v>474010</v>
      </c>
      <c r="D30" s="105"/>
      <c r="E30" s="105">
        <f t="shared" si="0"/>
        <v>474010</v>
      </c>
      <c r="F30" s="105">
        <v>474010</v>
      </c>
      <c r="G30" s="105"/>
      <c r="H30" s="105">
        <f t="shared" si="1"/>
        <v>474010</v>
      </c>
      <c r="I30" s="105"/>
      <c r="J30" s="105"/>
      <c r="K30" s="105">
        <f t="shared" si="2"/>
        <v>0</v>
      </c>
      <c r="L30" s="86">
        <f t="shared" si="4"/>
        <v>0</v>
      </c>
    </row>
    <row r="31" spans="1:10" s="122" customFormat="1" ht="15.75">
      <c r="A31" s="75"/>
      <c r="B31" s="77"/>
      <c r="C31" s="121"/>
      <c r="D31" s="121"/>
      <c r="F31" s="121"/>
      <c r="G31" s="121"/>
      <c r="I31" s="121"/>
      <c r="J31" s="121"/>
    </row>
    <row r="32" spans="1:12" ht="11.25">
      <c r="A32" s="138" t="s">
        <v>8</v>
      </c>
      <c r="B32" s="139" t="s">
        <v>101</v>
      </c>
      <c r="C32" s="145" t="s">
        <v>15</v>
      </c>
      <c r="D32" s="146"/>
      <c r="E32" s="147"/>
      <c r="F32" s="138" t="s">
        <v>7</v>
      </c>
      <c r="G32" s="138"/>
      <c r="H32" s="138"/>
      <c r="I32" s="138" t="s">
        <v>170</v>
      </c>
      <c r="J32" s="138"/>
      <c r="K32" s="138"/>
      <c r="L32" s="156" t="s">
        <v>95</v>
      </c>
    </row>
    <row r="33" spans="1:12" ht="35.25" customHeight="1">
      <c r="A33" s="138"/>
      <c r="B33" s="139"/>
      <c r="C33" s="148"/>
      <c r="D33" s="149"/>
      <c r="E33" s="150"/>
      <c r="F33" s="138"/>
      <c r="G33" s="138"/>
      <c r="H33" s="138"/>
      <c r="I33" s="98" t="s">
        <v>9</v>
      </c>
      <c r="J33" s="98" t="s">
        <v>10</v>
      </c>
      <c r="K33" s="98" t="s">
        <v>11</v>
      </c>
      <c r="L33" s="157"/>
    </row>
    <row r="34" spans="1:12" s="131" customFormat="1" ht="12.75">
      <c r="A34" s="128" t="s">
        <v>96</v>
      </c>
      <c r="B34" s="128" t="s">
        <v>90</v>
      </c>
      <c r="C34" s="129" t="e">
        <f>#REF!+'Projekt budż majątk2011książka'!C5</f>
        <v>#REF!</v>
      </c>
      <c r="D34" s="129" t="e">
        <f>#REF!+'Projekt budż majątk2011książka'!D5</f>
        <v>#REF!</v>
      </c>
      <c r="E34" s="129">
        <f>SUM('Projekt budż bież2011ksiażka'!E5,'Projekt budż majątk2011książka'!E5)</f>
        <v>1033906279</v>
      </c>
      <c r="F34" s="129">
        <f>SUM('Projekt budż bież2011ksiażka'!F5,'Projekt budż majątk2011książka'!F5)</f>
        <v>786098823</v>
      </c>
      <c r="G34" s="129">
        <f>SUM('Projekt budż bież2011ksiażka'!G5,'Projekt budż majątk2011książka'!G5)</f>
        <v>247807456</v>
      </c>
      <c r="H34" s="129">
        <f>SUM('Projekt budż bież2011ksiażka'!H5,'Projekt budż majątk2011książka'!H5)</f>
        <v>1033906279</v>
      </c>
      <c r="I34" s="129">
        <f>SUM('Projekt budż bież2011ksiażka'!I5,'Projekt budż majątk2011książka'!I5)</f>
        <v>836452299</v>
      </c>
      <c r="J34" s="129">
        <f>SUM('Projekt budż bież2011ksiażka'!J5,'Projekt budż majątk2011książka'!J5)</f>
        <v>207766868</v>
      </c>
      <c r="K34" s="129">
        <f>SUM('Projekt budż bież2011ksiażka'!K5,'Projekt budż majątk2011książka'!K5)</f>
        <v>1044219167</v>
      </c>
      <c r="L34" s="130">
        <f>K34/H34</f>
        <v>1.0099746835950882</v>
      </c>
    </row>
    <row r="35" spans="1:12" ht="11.25">
      <c r="A35" s="122"/>
      <c r="B35" s="122"/>
      <c r="C35" s="121"/>
      <c r="D35" s="121"/>
      <c r="E35" s="122"/>
      <c r="F35" s="121"/>
      <c r="G35" s="121"/>
      <c r="H35" s="122"/>
      <c r="I35" s="121"/>
      <c r="J35" s="121"/>
      <c r="K35" s="122"/>
      <c r="L35" s="88"/>
    </row>
    <row r="36" spans="5:11" ht="11.25">
      <c r="E36" s="120"/>
      <c r="H36" s="120"/>
      <c r="K36" s="123"/>
    </row>
    <row r="37" ht="11.25">
      <c r="K37" s="120"/>
    </row>
  </sheetData>
  <mergeCells count="15">
    <mergeCell ref="A1:L1"/>
    <mergeCell ref="I2:L2"/>
    <mergeCell ref="A5:B5"/>
    <mergeCell ref="L32:L33"/>
    <mergeCell ref="A2:A3"/>
    <mergeCell ref="B2:B3"/>
    <mergeCell ref="A32:A33"/>
    <mergeCell ref="B32:B33"/>
    <mergeCell ref="A25:B25"/>
    <mergeCell ref="A6:B6"/>
    <mergeCell ref="I32:K32"/>
    <mergeCell ref="C2:E3"/>
    <mergeCell ref="F2:H3"/>
    <mergeCell ref="C32:E33"/>
    <mergeCell ref="F32:H33"/>
  </mergeCells>
  <printOptions/>
  <pageMargins left="0.69" right="0.17" top="0.8" bottom="0.24" header="0.5" footer="0.18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</dc:creator>
  <cp:keywords/>
  <dc:description/>
  <cp:lastModifiedBy>kbara</cp:lastModifiedBy>
  <cp:lastPrinted>2010-11-12T14:21:49Z</cp:lastPrinted>
  <dcterms:created xsi:type="dcterms:W3CDTF">2005-11-15T08:37:02Z</dcterms:created>
  <dcterms:modified xsi:type="dcterms:W3CDTF">2010-11-12T14:21:55Z</dcterms:modified>
  <cp:category/>
  <cp:version/>
  <cp:contentType/>
  <cp:contentStatus/>
</cp:coreProperties>
</file>