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65" windowWidth="9435" windowHeight="4590" activeTab="0"/>
  </bookViews>
  <sheets>
    <sheet name="źródła I półrocze" sheetId="1" r:id="rId1"/>
  </sheets>
  <definedNames>
    <definedName name="_xlnm.Print_Titles" localSheetId="0">'źródła I półrocze'!$2:$3</definedName>
  </definedNames>
  <calcPr fullCalcOnLoad="1"/>
</workbook>
</file>

<file path=xl/sharedStrings.xml><?xml version="1.0" encoding="utf-8"?>
<sst xmlns="http://schemas.openxmlformats.org/spreadsheetml/2006/main" count="152" uniqueCount="143">
  <si>
    <t>składki na ubezpieczenia zdrowotne</t>
  </si>
  <si>
    <t>kwalifikacja wojskowa</t>
  </si>
  <si>
    <t>projekt " Wzmocnienie współpracy między Akademią Medyczną w Gdańsku a PPNT i GPNT"</t>
  </si>
  <si>
    <t>Program Współpracy Transgranicznej Południowy Bałtyk 2007-2013 "eduPEOPLE"</t>
  </si>
  <si>
    <t>udział w targach Let s EXPO</t>
  </si>
  <si>
    <t>Program Współpracy Transgranicznej Południowy Bałtyk 2007-2013 "Diske"</t>
  </si>
  <si>
    <t>projekt "Przyroda - eksperyment o nieograniczonych możliwościach"</t>
  </si>
  <si>
    <t>zasiłki stałe</t>
  </si>
  <si>
    <t xml:space="preserve"> usługi opiekuńcze, specjalistyczne usługi opiekuńcze</t>
  </si>
  <si>
    <t>środki na dofinansowanie programu "Uczenie się przez całe życie" Projekt Partnerski COMENIUS</t>
  </si>
  <si>
    <t>opłaty za parkowanie, za zajęcie pasa drogowego, umieszczanie reklam i stoisk w pasie drogowym i in.</t>
  </si>
  <si>
    <t>aktualizacja spisu wyborców</t>
  </si>
  <si>
    <t>program "Radosna szkoła"</t>
  </si>
  <si>
    <t>opłaty komunikacyjna</t>
  </si>
  <si>
    <t>zwrot refundacji kosztów projektu "Pomorski Park Naukowo-Technologiczny- Rozbudowa etap 3 i 4"</t>
  </si>
  <si>
    <t>środki otrzymane z Gmin, Powiatów i z Samorządu Województwa Pomorskiego na budowę Obwodnicy Północnej Aglomeracji Trójmiejskiej</t>
  </si>
  <si>
    <t xml:space="preserve">projekt "Urzędnik na plus" </t>
  </si>
  <si>
    <t>projekt "Doświadczenia ponad granicami gdyńsko - helsinborskie partnerstwo na rzecz osób niepełnosprawnych"</t>
  </si>
  <si>
    <t xml:space="preserve">"Leonardo da Vinci" </t>
  </si>
  <si>
    <t>Pomoc państwa w zakresie dożywiania</t>
  </si>
  <si>
    <t>projekt "Mój biznes"</t>
  </si>
  <si>
    <t>dotacja od Fundacji Współpracy Polsko - Niemieckiej na realizację projektu "Razem dla europejskiego dialogu - 25 - lecie partnerstwa miast Gdyni i Kilonii"</t>
  </si>
  <si>
    <t>dofinansowanie projektu "Rozwój proekologicznego transportu publicznego na Obszarze Metropolitarnym Trójmiasta"</t>
  </si>
  <si>
    <t>przebudowa układu drogowego węzła Św.Maksymiliana wraz z budową tunelu drogowego pod Drogą Gdyńską, torami SKM i PKP w Gdyni</t>
  </si>
  <si>
    <t>Dom Pomocy Społecznej</t>
  </si>
  <si>
    <t>środki na dofinansowanie realizacji projektu "Kompleksowa termomodernizacja dziewięciu budynków placówek oświatowych na terenie Gdyni"</t>
  </si>
  <si>
    <t>projekt "Segment"</t>
  </si>
  <si>
    <t>środki z Funduszu Rozwoju Systemu Edukacji na realizację zadania "Wymiana młodzieży"</t>
  </si>
  <si>
    <t>Plan na 2010 rok</t>
  </si>
  <si>
    <t>tworzenie szkolnych placów zabaw</t>
  </si>
  <si>
    <t>środki dla Powiatowego Zespołu ds.Orzekania o Niepełnosprawności zgodnie z zawartym porozumieniem pomiędzy Miastem Gdynia, a Mastem Sopot</t>
  </si>
  <si>
    <t>wpływy Urzędu Miasta</t>
  </si>
  <si>
    <t>refundacja środków dotycząca projektu "A-B Landbridge"</t>
  </si>
  <si>
    <t xml:space="preserve"> </t>
  </si>
  <si>
    <t>dofinansowanie projektu "Efektywny samorząd - kompetentna kadra w Urzędzie Miasta Gdyni i Gminy Kosakowo"</t>
  </si>
  <si>
    <t>rozliczenia z lat ubiegłych oraz zwroty dotacji wykorzystanych niezgodnie z przeznaczeniem lub pobranych w nadmiernej wysokości</t>
  </si>
  <si>
    <t>% wykonania (kol.8:5)</t>
  </si>
  <si>
    <t>stypendia oraz inne formy pomocy dla uczniów</t>
  </si>
  <si>
    <t>udziały w podatku dochodowym od osób prawnych</t>
  </si>
  <si>
    <t>Wykonanie za okres I - VI 2010r.</t>
  </si>
  <si>
    <t xml:space="preserve">Wykonanie dochodów budżetu miasta Gdyni za okres I - VI 2010 roku wg źródeł                                </t>
  </si>
  <si>
    <t>Lp.</t>
  </si>
  <si>
    <t>Gmina</t>
  </si>
  <si>
    <t>Powiat</t>
  </si>
  <si>
    <t>Razem</t>
  </si>
  <si>
    <t>DOCHODY OGÓŁEM</t>
  </si>
  <si>
    <t xml:space="preserve">podatek od nieruchomości </t>
  </si>
  <si>
    <t xml:space="preserve">podatek od środków transportowych </t>
  </si>
  <si>
    <t>opłata skarbowa</t>
  </si>
  <si>
    <t>pozostałe</t>
  </si>
  <si>
    <t>podatek rolny</t>
  </si>
  <si>
    <t xml:space="preserve">podatek leśny </t>
  </si>
  <si>
    <t>zaległości z podatków zniesionych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</si>
  <si>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</si>
  <si>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</si>
  <si>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</si>
  <si>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</si>
  <si>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</si>
  <si>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</si>
  <si>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>wpływy ze sprzedaży mienia komunalnego</t>
  </si>
  <si>
    <t>dochody z dzierżawy</t>
  </si>
  <si>
    <t>wpływy z lokali użytkowych</t>
  </si>
  <si>
    <t>użytkowanie wieczyste</t>
  </si>
  <si>
    <t>opłata adiacencka i renta planistyczna</t>
  </si>
  <si>
    <t xml:space="preserve">sprzedaż składników majątkowych </t>
  </si>
  <si>
    <t>dochody z najmu i dzierżawy skł. majątkowych gminy oddanych w użytkowanie jednostkom i zakł. budżetowym</t>
  </si>
  <si>
    <t>wpływy z czynszów za mieszkania służbowe</t>
  </si>
  <si>
    <t xml:space="preserve">Inne dochody własne </t>
  </si>
  <si>
    <t>wpływy Zarządu Komunikacji Miejskiej</t>
  </si>
  <si>
    <t>wpływy z opłat rodziców za pobyt dzieci w żłobku</t>
  </si>
  <si>
    <t>wpływy z usług opiekuńczych i opłaty za pobyt w ośrodkach wsparcia</t>
  </si>
  <si>
    <t>wpływy z usług Gdyńskiego Centrum Innowacji</t>
  </si>
  <si>
    <t xml:space="preserve">wpływy z opłat za pobyt w domu opieki społecznej </t>
  </si>
  <si>
    <t>dotacja z Ministerstwa Sportu i Turystyki na stadion RUGBY</t>
  </si>
  <si>
    <t xml:space="preserve">opłaty za wpis do rejestru działalności gospodarczej za egzaminy i dokumenty wydawane w związku z wykonywaniem transportu drogowego oraz inne opłaty pobierane przez UM 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</si>
  <si>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</si>
  <si>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</si>
  <si>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</si>
  <si>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opłaty za usuwanie pojazdów z pasa drogowego</t>
  </si>
  <si>
    <t>odsetki od środków na rachunkach bankowych</t>
  </si>
  <si>
    <t>pozostałe dochody</t>
  </si>
  <si>
    <t>grzywny i kary - Straż Miejska</t>
  </si>
  <si>
    <t>różne dochody jednostek organizacyjnych miasta</t>
  </si>
  <si>
    <t xml:space="preserve">zadania oświatowe </t>
  </si>
  <si>
    <t>obsługa mieszkańców Sopotu przez Powiatowy Urząd Pracy w Gdyni</t>
  </si>
  <si>
    <t xml:space="preserve">rodziny zastępcze </t>
  </si>
  <si>
    <t>placówki opiekuńczo - wychowawcze</t>
  </si>
  <si>
    <t>środki z gmin ościennych na organizację usług komunikacyjnych na ich terenie przez ZKM w Gdyni na podstawie porozumień</t>
  </si>
  <si>
    <t>Dotacje i inne środki zewnętrzne na dofinansowanie zadań własnych</t>
  </si>
  <si>
    <t>wkład beneficjentów w realizację zadania: rozwój turystyki w rejonie Zatoki Gdańskiej</t>
  </si>
  <si>
    <t>Środki z UE na dofinansowanie zadań własnych</t>
  </si>
  <si>
    <t>Udziały we wpływach z podatków dochodowych</t>
  </si>
  <si>
    <t xml:space="preserve">udziały w podatku dochodowym od osób fizycznych </t>
  </si>
  <si>
    <t>II.  SUBWENCJA OGÓLNA</t>
  </si>
  <si>
    <t>część oświatowa</t>
  </si>
  <si>
    <t>część równoważąca</t>
  </si>
  <si>
    <t>III.  DOTACJE CELOWE Z BUDŻETU PAŃSTWA</t>
  </si>
  <si>
    <t>NA ZADANIA ZLECONE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</si>
  <si>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</si>
  <si>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</si>
  <si>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</si>
  <si>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>świadczenia rodzinne</t>
  </si>
  <si>
    <t>zespół ds. orzekania o stopniu niepełnosprawn.</t>
  </si>
  <si>
    <t xml:space="preserve">składki na ubezpieczenia zdrowotne </t>
  </si>
  <si>
    <t>wybory Prezydenta Rzeczypospolitej Polskiej</t>
  </si>
  <si>
    <t xml:space="preserve">prace geodezyjne i kartograficzne </t>
  </si>
  <si>
    <t>opracowania geodezyjne i kartograficzne</t>
  </si>
  <si>
    <t>gospodarka gruntami i nieruchomościami</t>
  </si>
  <si>
    <t>NA ZADANIA REALIZOWANE NA MOCY POROZUMIEŃ Z ORGANAMI ADMINISTRACJI RZĄDOWEJ</t>
  </si>
  <si>
    <t>utrzymanie grobów wojennych</t>
  </si>
  <si>
    <t>NA FINANSOWANIE LUB DOFINANSOWANIE ZADAŃ WŁASNYCH</t>
  </si>
  <si>
    <t>zadania z zakresu opieki społecznej:</t>
  </si>
  <si>
    <t>opieka w domach o zasięgu ponadgminnym</t>
  </si>
  <si>
    <t>zasiłki i pomoc w naturze</t>
  </si>
  <si>
    <t>ośrodki pomocy społecznej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</si>
  <si>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</si>
  <si>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z Funduszu Pracy na finansowanie wynagrodzeń i składek na ubezpieczenie pracowników Powiatowego Urzędu Pracy</t>
  </si>
  <si>
    <t>wpłata części zysku gospodarstwa pomocniczego</t>
  </si>
  <si>
    <t>koszty wydawania decyzji w sprawie świadczeń zdrowotnych</t>
  </si>
  <si>
    <t>dotacja dla Ochotniczej Straży Pożarnej Wiczlino</t>
  </si>
  <si>
    <t>administracja państwowa (na zadania bieżące i inwestycyjne)</t>
  </si>
  <si>
    <t>koszty związane z postępowaniem w sprawie zwrotu podatku akcyzowego zawartego w cenie oleju napędowego wykorzystywanego do produkcji rolnej</t>
  </si>
  <si>
    <t xml:space="preserve">rekompensata utraconych dochodów (z PFRON - u) z tytułu zwolnień w podatkach </t>
  </si>
  <si>
    <t>Treść</t>
  </si>
  <si>
    <t>lokalne inicjatywy inwestycyjne</t>
  </si>
  <si>
    <t>środki z Funduszu Rozwoju Kultury Fizycznej na dofinansowanie programu szkolenia młodzieży uzdolnionej sportowo</t>
  </si>
  <si>
    <t>wpływy ze sprzedaży biletów na "tramwaj wodny"</t>
  </si>
  <si>
    <t>Podatki i opłaty pobierane przez miasto</t>
  </si>
  <si>
    <t>Dochody z majątku miasta</t>
  </si>
  <si>
    <t>Dotacje od jednostek samorządu terytorialnego</t>
  </si>
  <si>
    <t>wpływy z tytułu przekształcenia użytkowania wieczystego na własność</t>
  </si>
  <si>
    <t>opłaty lokalne (opłata targowa i miejscowa)</t>
  </si>
  <si>
    <t xml:space="preserve">50% zwrotów zaliczek alimentacyjnych </t>
  </si>
  <si>
    <t>Komenda Powiatowa Państwowej Straży Pożarnej (na zadania bieżące)</t>
  </si>
  <si>
    <t>Komenda Powiatowa Państwowej Straży Pożarnej (na zadania inwestycyjne)</t>
  </si>
  <si>
    <t>dotacja z Narodowego Centrum Kultury na realizację Ogólnopolskiego programu rozwoju chórów szkolnych Ministra Kultury i Dziedzictwa Narodowego "Śpiewająca Polska"</t>
  </si>
  <si>
    <t>dotacje z Helu i Jastarni na dofinansowanie funkcjonowania "Tramwaju wodnego"</t>
  </si>
  <si>
    <t>Inspektorat Nadzoru Budowlanego (na zadania bieżące i inwestycyjne)</t>
  </si>
  <si>
    <t>realizacja programu korekcyjno - edukacyjnego dla sprawców przemocy w rodzinie</t>
  </si>
  <si>
    <t xml:space="preserve">środki na realizację projektu "Dobry zawód gwarancją sukcesu" </t>
  </si>
  <si>
    <t>rozliczenie mediów zużywanych przez Krytą Pływalnie przy ZS nr 10</t>
  </si>
  <si>
    <t xml:space="preserve">                                                                                                                </t>
  </si>
  <si>
    <t xml:space="preserve">wpływy wynikające z włączenia do budżetu miasta planu dochodów zlikwidowanych gminnych i powiatowych Funduszy Ochrony Środowiska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</si>
</sst>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  <numFmt numFmtId="195" formatCode="#,##0.00\ &quot;zł&quot;"/>
    <numFmt numFmtId="196" formatCode="[$€-2]\ #,##0.00_);[Red]\([$€-2]\ #,##0.00\)"/>
  </numFmts>
  <fonts count="19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MS Sans Serif"/>
      <family val="2"/>
    </font>
    <font>
      <i/>
      <sz val="8"/>
      <name val="Times New Roman"/>
      <family val="1"/>
    </font>
    <font>
      <b/>
      <sz val="13"/>
      <name val="Arial CE"/>
      <family val="2"/>
    </font>
    <font>
      <i/>
      <sz val="8"/>
      <color indexed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" fontId="0" fillId="0" borderId="0" xfId="19" applyNumberFormat="1" applyFont="1" applyFill="1" applyAlignment="1">
      <alignment vertical="center"/>
      <protection/>
    </xf>
    <xf numFmtId="4" fontId="0" fillId="0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4" fontId="7" fillId="0" borderId="0" xfId="19" applyNumberFormat="1" applyFont="1" applyFill="1">
      <alignment/>
      <protection/>
    </xf>
    <xf numFmtId="3" fontId="10" fillId="0" borderId="2" xfId="19" applyNumberFormat="1" applyFont="1" applyFill="1" applyBorder="1" applyAlignment="1">
      <alignment vertical="center"/>
      <protection/>
    </xf>
    <xf numFmtId="4" fontId="5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vertical="center"/>
      <protection/>
    </xf>
    <xf numFmtId="4" fontId="8" fillId="0" borderId="0" xfId="19" applyNumberFormat="1" applyFont="1" applyFill="1" applyAlignment="1">
      <alignment vertical="center"/>
      <protection/>
    </xf>
    <xf numFmtId="4" fontId="9" fillId="0" borderId="0" xfId="19" applyNumberFormat="1" applyFont="1" applyFill="1" applyAlignment="1">
      <alignment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18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>
      <alignment/>
      <protection/>
    </xf>
    <xf numFmtId="0" fontId="0" fillId="0" borderId="1" xfId="18" applyFont="1" applyFill="1" applyBorder="1" applyAlignment="1">
      <alignment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3" fontId="12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7" fillId="0" borderId="0" xfId="18" applyFont="1" applyFill="1">
      <alignment/>
      <protection/>
    </xf>
    <xf numFmtId="0" fontId="7" fillId="0" borderId="0" xfId="18" applyFont="1" applyFill="1" applyAlignment="1">
      <alignment vertical="center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4" fontId="6" fillId="0" borderId="1" xfId="19" applyNumberFormat="1" applyFont="1" applyFill="1" applyBorder="1" applyAlignment="1">
      <alignment vertical="center" wrapText="1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0" fontId="13" fillId="0" borderId="1" xfId="18" applyFont="1" applyFill="1" applyBorder="1" applyAlignment="1">
      <alignment horizontal="left" vertical="center" wrapText="1"/>
      <protection/>
    </xf>
    <xf numFmtId="3" fontId="0" fillId="0" borderId="1" xfId="19" applyNumberFormat="1" applyFont="1" applyFill="1" applyBorder="1" applyAlignment="1">
      <alignment vertical="center"/>
      <protection/>
    </xf>
    <xf numFmtId="4" fontId="12" fillId="0" borderId="0" xfId="19" applyNumberFormat="1" applyFont="1" applyFill="1">
      <alignment/>
      <protection/>
    </xf>
    <xf numFmtId="0" fontId="13" fillId="0" borderId="1" xfId="18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Border="1">
      <alignment/>
      <protection/>
    </xf>
    <xf numFmtId="3" fontId="10" fillId="0" borderId="1" xfId="19" applyNumberFormat="1" applyFont="1" applyFill="1" applyBorder="1" applyAlignment="1">
      <alignment vertical="center"/>
      <protection/>
    </xf>
    <xf numFmtId="3" fontId="10" fillId="0" borderId="1" xfId="19" applyNumberFormat="1" applyFont="1" applyFill="1" applyBorder="1" applyAlignment="1">
      <alignment horizontal="right" vertical="center" wrapText="1"/>
      <protection/>
    </xf>
    <xf numFmtId="4" fontId="7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horizontal="left" vertical="center" wrapText="1"/>
      <protection/>
    </xf>
    <xf numFmtId="3" fontId="5" fillId="0" borderId="0" xfId="19" applyNumberFormat="1" applyFont="1" applyFill="1" applyAlignment="1">
      <alignment vertical="center"/>
      <protection/>
    </xf>
    <xf numFmtId="1" fontId="0" fillId="0" borderId="1" xfId="19" applyNumberFormat="1" applyFont="1" applyFill="1" applyBorder="1" applyAlignment="1">
      <alignment vertical="center" wrapText="1"/>
      <protection/>
    </xf>
    <xf numFmtId="1" fontId="0" fillId="0" borderId="1" xfId="19" applyNumberFormat="1" applyFont="1" applyFill="1" applyBorder="1" applyAlignment="1">
      <alignment horizontal="left" vertical="center" wrapText="1"/>
      <protection/>
    </xf>
    <xf numFmtId="1" fontId="7" fillId="0" borderId="1" xfId="19" applyNumberFormat="1" applyFont="1" applyFill="1" applyBorder="1" applyAlignment="1">
      <alignment horizontal="right" vertical="center" wrapText="1"/>
      <protection/>
    </xf>
    <xf numFmtId="3" fontId="6" fillId="0" borderId="1" xfId="18" applyNumberFormat="1" applyFont="1" applyFill="1" applyBorder="1" applyAlignment="1">
      <alignment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center"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1" fontId="12" fillId="0" borderId="1" xfId="19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vertical="center" wrapText="1"/>
      <protection/>
    </xf>
    <xf numFmtId="0" fontId="7" fillId="0" borderId="0" xfId="18" applyFont="1" applyFill="1" applyAlignment="1">
      <alignment vertical="center"/>
      <protection/>
    </xf>
    <xf numFmtId="0" fontId="14" fillId="0" borderId="1" xfId="18" applyFont="1" applyFill="1" applyBorder="1" applyAlignment="1">
      <alignment horizontal="right" vertical="center" wrapText="1"/>
      <protection/>
    </xf>
    <xf numFmtId="1" fontId="14" fillId="0" borderId="1" xfId="19" applyNumberFormat="1" applyFont="1" applyFill="1" applyBorder="1" applyAlignment="1">
      <alignment horizontal="right" vertical="center" wrapText="1"/>
      <protection/>
    </xf>
    <xf numFmtId="3" fontId="12" fillId="0" borderId="0" xfId="19" applyNumberFormat="1" applyFont="1" applyFill="1">
      <alignment/>
      <protection/>
    </xf>
    <xf numFmtId="1" fontId="5" fillId="0" borderId="0" xfId="19" applyNumberFormat="1" applyFont="1" applyFill="1">
      <alignment/>
      <protection/>
    </xf>
    <xf numFmtId="0" fontId="5" fillId="0" borderId="1" xfId="18" applyFont="1" applyFill="1" applyBorder="1" applyAlignment="1">
      <alignment horizontal="center" vertical="center"/>
      <protection/>
    </xf>
    <xf numFmtId="9" fontId="0" fillId="0" borderId="1" xfId="18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1" xfId="18" applyFont="1" applyFill="1" applyBorder="1" applyAlignment="1">
      <alignment vertical="center" wrapText="1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4" fontId="0" fillId="0" borderId="0" xfId="19" applyNumberFormat="1" applyFont="1" applyFill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19" applyNumberFormat="1" applyFont="1" applyFill="1" applyBorder="1" applyAlignment="1">
      <alignment horizontal="right" vertical="center" wrapText="1"/>
      <protection/>
    </xf>
    <xf numFmtId="3" fontId="5" fillId="0" borderId="0" xfId="19" applyNumberFormat="1" applyFont="1" applyFill="1" applyBorder="1" applyAlignment="1">
      <alignment horizontal="right" vertical="center" wrapText="1"/>
      <protection/>
    </xf>
    <xf numFmtId="4" fontId="5" fillId="0" borderId="0" xfId="19" applyNumberFormat="1" applyFont="1" applyFill="1" applyBorder="1" applyAlignment="1">
      <alignment vertical="center"/>
      <protection/>
    </xf>
    <xf numFmtId="4" fontId="9" fillId="0" borderId="0" xfId="19" applyNumberFormat="1" applyFont="1" applyFill="1" applyBorder="1" applyAlignment="1">
      <alignment vertical="center"/>
      <protection/>
    </xf>
    <xf numFmtId="164" fontId="5" fillId="0" borderId="1" xfId="19" applyNumberFormat="1" applyFont="1" applyFill="1" applyBorder="1" applyAlignment="1">
      <alignment horizontal="center" vertical="center" wrapText="1"/>
      <protection/>
    </xf>
    <xf numFmtId="164" fontId="5" fillId="0" borderId="0" xfId="19" applyNumberFormat="1" applyFont="1" applyFill="1" applyBorder="1" applyAlignment="1">
      <alignment horizontal="center" vertical="center" wrapText="1"/>
      <protection/>
    </xf>
    <xf numFmtId="3" fontId="5" fillId="0" borderId="3" xfId="19" applyNumberFormat="1" applyFont="1" applyFill="1" applyBorder="1" applyAlignment="1">
      <alignment horizontal="center" vertical="center" wrapText="1"/>
      <protection/>
    </xf>
    <xf numFmtId="3" fontId="7" fillId="0" borderId="0" xfId="19" applyNumberFormat="1" applyFont="1" applyFill="1">
      <alignment/>
      <protection/>
    </xf>
    <xf numFmtId="1" fontId="5" fillId="0" borderId="0" xfId="19" applyNumberFormat="1" applyFont="1" applyFill="1" applyBorder="1">
      <alignment/>
      <protection/>
    </xf>
    <xf numFmtId="0" fontId="0" fillId="0" borderId="0" xfId="18" applyFont="1" applyFill="1" applyBorder="1">
      <alignment/>
      <protection/>
    </xf>
    <xf numFmtId="0" fontId="7" fillId="0" borderId="0" xfId="18" applyFont="1" applyFill="1" applyBorder="1">
      <alignment/>
      <protection/>
    </xf>
    <xf numFmtId="0" fontId="0" fillId="0" borderId="0" xfId="18" applyFont="1" applyFill="1" applyBorder="1">
      <alignment/>
      <protection/>
    </xf>
    <xf numFmtId="3" fontId="0" fillId="0" borderId="0" xfId="18" applyNumberFormat="1" applyFont="1" applyFill="1" applyBorder="1" applyAlignment="1">
      <alignment vertical="center"/>
      <protection/>
    </xf>
    <xf numFmtId="3" fontId="7" fillId="0" borderId="0" xfId="19" applyNumberFormat="1" applyFont="1" applyFill="1" applyBorder="1" applyAlignment="1">
      <alignment horizontal="right" vertical="center" wrapText="1"/>
      <protection/>
    </xf>
    <xf numFmtId="3" fontId="0" fillId="0" borderId="0" xfId="18" applyNumberFormat="1" applyFont="1" applyFill="1">
      <alignment/>
      <protection/>
    </xf>
    <xf numFmtId="4" fontId="0" fillId="0" borderId="0" xfId="0" applyNumberFormat="1" applyFont="1" applyFill="1" applyAlignment="1">
      <alignment/>
    </xf>
    <xf numFmtId="1" fontId="5" fillId="0" borderId="1" xfId="19" applyNumberFormat="1" applyFont="1" applyFill="1" applyBorder="1" applyAlignment="1">
      <alignment horizontal="center" vertical="center"/>
      <protection/>
    </xf>
    <xf numFmtId="4" fontId="16" fillId="0" borderId="0" xfId="19" applyNumberFormat="1" applyFont="1" applyFill="1" applyBorder="1">
      <alignment/>
      <protection/>
    </xf>
    <xf numFmtId="4" fontId="16" fillId="0" borderId="0" xfId="19" applyNumberFormat="1" applyFont="1" applyFill="1">
      <alignment/>
      <protection/>
    </xf>
    <xf numFmtId="3" fontId="10" fillId="0" borderId="2" xfId="19" applyNumberFormat="1" applyFont="1" applyFill="1" applyBorder="1" applyAlignment="1">
      <alignment horizontal="right" vertical="center" wrapText="1"/>
      <protection/>
    </xf>
    <xf numFmtId="3" fontId="3" fillId="0" borderId="0" xfId="19" applyNumberFormat="1" applyFont="1" applyFill="1" applyBorder="1" applyAlignment="1">
      <alignment horizontal="right" vertical="center" wrapText="1"/>
      <protection/>
    </xf>
    <xf numFmtId="3" fontId="18" fillId="0" borderId="0" xfId="19" applyNumberFormat="1" applyFont="1" applyFill="1" applyBorder="1" applyAlignment="1">
      <alignment horizontal="center" vertical="center" wrapText="1"/>
      <protection/>
    </xf>
    <xf numFmtId="3" fontId="18" fillId="0" borderId="0" xfId="19" applyNumberFormat="1" applyFont="1" applyFill="1" applyAlignment="1">
      <alignment horizontal="center" vertical="center" wrapText="1"/>
      <protection/>
    </xf>
    <xf numFmtId="4" fontId="3" fillId="0" borderId="0" xfId="19" applyNumberFormat="1" applyFont="1" applyFill="1" applyBorder="1" applyAlignment="1">
      <alignment vertical="center"/>
      <protection/>
    </xf>
    <xf numFmtId="4" fontId="0" fillId="0" borderId="0" xfId="19" applyNumberFormat="1" applyFont="1" applyFill="1" applyBorder="1" applyAlignment="1">
      <alignment horizontal="right" vertical="center" wrapText="1"/>
      <protection/>
    </xf>
    <xf numFmtId="3" fontId="5" fillId="0" borderId="4" xfId="19" applyNumberFormat="1" applyFont="1" applyFill="1" applyBorder="1" applyAlignment="1">
      <alignment horizontal="center" vertical="center" wrapText="1"/>
      <protection/>
    </xf>
    <xf numFmtId="0" fontId="7" fillId="0" borderId="0" xfId="18" applyFont="1" applyFill="1" applyBorder="1" applyAlignment="1">
      <alignment vertical="center"/>
      <protection/>
    </xf>
    <xf numFmtId="3" fontId="5" fillId="0" borderId="0" xfId="19" applyNumberFormat="1" applyFont="1" applyFill="1" applyBorder="1" applyAlignment="1">
      <alignment vertical="center"/>
      <protection/>
    </xf>
    <xf numFmtId="4" fontId="7" fillId="0" borderId="0" xfId="19" applyNumberFormat="1" applyFont="1" applyFill="1" applyBorder="1" applyAlignment="1">
      <alignment vertical="center"/>
      <protection/>
    </xf>
    <xf numFmtId="4" fontId="15" fillId="0" borderId="5" xfId="19" applyNumberFormat="1" applyFont="1" applyFill="1" applyBorder="1" applyAlignment="1">
      <alignment horizontal="center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1" fontId="6" fillId="0" borderId="4" xfId="19" applyNumberFormat="1" applyFont="1" applyFill="1" applyBorder="1" applyAlignment="1">
      <alignment horizontal="center" vertical="center" wrapText="1"/>
      <protection/>
    </xf>
    <xf numFmtId="1" fontId="6" fillId="0" borderId="3" xfId="19" applyNumberFormat="1" applyFont="1" applyFill="1" applyBorder="1" applyAlignment="1">
      <alignment horizontal="center" vertical="center" wrapText="1"/>
      <protection/>
    </xf>
    <xf numFmtId="4" fontId="11" fillId="0" borderId="1" xfId="19" applyNumberFormat="1" applyFont="1" applyFill="1" applyBorder="1" applyAlignment="1">
      <alignment horizontal="left" vertical="center" wrapText="1"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1" fontId="11" fillId="0" borderId="1" xfId="19" applyNumberFormat="1" applyFont="1" applyFill="1" applyBorder="1" applyAlignment="1">
      <alignment horizontal="left" vertical="center" wrapText="1"/>
      <protection/>
    </xf>
    <xf numFmtId="4" fontId="17" fillId="0" borderId="6" xfId="19" applyNumberFormat="1" applyFont="1" applyFill="1" applyBorder="1" applyAlignment="1">
      <alignment horizontal="center" vertical="center" wrapText="1"/>
      <protection/>
    </xf>
    <xf numFmtId="4" fontId="17" fillId="0" borderId="2" xfId="19" applyNumberFormat="1" applyFont="1" applyFill="1" applyBorder="1" applyAlignment="1">
      <alignment horizontal="center" vertical="center" wrapText="1"/>
      <protection/>
    </xf>
    <xf numFmtId="4" fontId="5" fillId="0" borderId="1" xfId="19" applyNumberFormat="1" applyFont="1" applyFill="1" applyBorder="1" applyAlignment="1">
      <alignment horizontal="left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4" fontId="5" fillId="0" borderId="1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workbookViewId="0" topLeftCell="A1">
      <pane ySplit="4" topLeftCell="BM120" activePane="bottomLeft" state="frozen"/>
      <selection pane="topLeft" activeCell="A1" sqref="A1"/>
      <selection pane="bottomLeft" activeCell="B40" sqref="B40"/>
    </sheetView>
  </sheetViews>
  <sheetFormatPr defaultColWidth="9.140625" defaultRowHeight="12"/>
  <cols>
    <col min="1" max="1" width="4.140625" style="70" customWidth="1"/>
    <col min="2" max="2" width="64.28125" style="70" customWidth="1"/>
    <col min="3" max="3" width="18.7109375" style="71" customWidth="1"/>
    <col min="4" max="4" width="17.00390625" style="71" customWidth="1"/>
    <col min="5" max="5" width="19.140625" style="60" customWidth="1"/>
    <col min="6" max="6" width="19.140625" style="71" customWidth="1"/>
    <col min="7" max="7" width="16.7109375" style="71" customWidth="1"/>
    <col min="8" max="8" width="16.421875" style="60" customWidth="1"/>
    <col min="9" max="9" width="14.28125" style="60" customWidth="1"/>
    <col min="10" max="10" width="14.421875" style="70" customWidth="1"/>
    <col min="11" max="32" width="9.28125" style="70" customWidth="1"/>
    <col min="33" max="16384" width="9.140625" style="70" customWidth="1"/>
  </cols>
  <sheetData>
    <row r="1" spans="1:9" s="95" customFormat="1" ht="24" customHeight="1">
      <c r="A1" s="101" t="s">
        <v>40</v>
      </c>
      <c r="B1" s="101"/>
      <c r="C1" s="101"/>
      <c r="D1" s="101"/>
      <c r="E1" s="101"/>
      <c r="F1" s="101"/>
      <c r="G1" s="101"/>
      <c r="H1" s="101"/>
      <c r="I1" s="101"/>
    </row>
    <row r="2" spans="1:10" s="57" customFormat="1" ht="19.5" customHeight="1">
      <c r="A2" s="111" t="s">
        <v>41</v>
      </c>
      <c r="B2" s="112" t="s">
        <v>123</v>
      </c>
      <c r="C2" s="102" t="s">
        <v>28</v>
      </c>
      <c r="D2" s="102"/>
      <c r="E2" s="102"/>
      <c r="F2" s="106" t="s">
        <v>39</v>
      </c>
      <c r="G2" s="106"/>
      <c r="H2" s="106"/>
      <c r="I2" s="103" t="s">
        <v>36</v>
      </c>
      <c r="J2" s="80"/>
    </row>
    <row r="3" spans="1:10" s="57" customFormat="1" ht="26.25" customHeight="1">
      <c r="A3" s="111"/>
      <c r="B3" s="112"/>
      <c r="C3" s="4" t="s">
        <v>42</v>
      </c>
      <c r="D3" s="4" t="s">
        <v>43</v>
      </c>
      <c r="E3" s="4" t="s">
        <v>44</v>
      </c>
      <c r="F3" s="4" t="s">
        <v>42</v>
      </c>
      <c r="G3" s="4" t="s">
        <v>43</v>
      </c>
      <c r="H3" s="4" t="s">
        <v>44</v>
      </c>
      <c r="I3" s="104"/>
      <c r="J3" s="96"/>
    </row>
    <row r="4" spans="1:14" s="90" customFormat="1" ht="9" customHeight="1">
      <c r="A4" s="88">
        <v>1</v>
      </c>
      <c r="B4" s="88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97">
        <v>9</v>
      </c>
      <c r="J4" s="89"/>
      <c r="K4" s="89"/>
      <c r="L4" s="89"/>
      <c r="M4" s="89"/>
      <c r="N4" s="89"/>
    </row>
    <row r="5" spans="1:14" s="94" customFormat="1" ht="12.75">
      <c r="A5" s="108" t="s">
        <v>45</v>
      </c>
      <c r="B5" s="109"/>
      <c r="C5" s="91">
        <f>SUM(C6,C102,C105)</f>
        <v>799162678</v>
      </c>
      <c r="D5" s="91">
        <f>SUM(D6,D102,D105)</f>
        <v>221809258</v>
      </c>
      <c r="E5" s="34">
        <f aca="true" t="shared" si="0" ref="E5:E36">SUM(C5:D5)</f>
        <v>1020971936</v>
      </c>
      <c r="F5" s="91">
        <f>SUM(F6,F102,F105)</f>
        <v>356626453.75</v>
      </c>
      <c r="G5" s="91">
        <f>SUM(G6,G102,G105)</f>
        <v>118906079.73</v>
      </c>
      <c r="H5" s="34">
        <f aca="true" t="shared" si="1" ref="H5:H33">SUM(F5:G5)</f>
        <v>475532533.48</v>
      </c>
      <c r="I5" s="76">
        <f aca="true" t="shared" si="2" ref="I5:I24">H5/E5</f>
        <v>0.46576454916386656</v>
      </c>
      <c r="J5" s="92"/>
      <c r="K5" s="93"/>
      <c r="L5" s="93"/>
      <c r="M5" s="93"/>
      <c r="N5" s="93"/>
    </row>
    <row r="6" spans="1:14" s="7" customFormat="1" ht="24" customHeight="1">
      <c r="A6" s="105" t="s">
        <v>115</v>
      </c>
      <c r="B6" s="110"/>
      <c r="C6" s="6">
        <f>SUM(C7,C21,C26,C36,C67,C81,C57,C99)</f>
        <v>650321840</v>
      </c>
      <c r="D6" s="6">
        <f>SUM(D7,D21,D26,D36,D67,D81,D57,D99)</f>
        <v>107333722</v>
      </c>
      <c r="E6" s="6">
        <f t="shared" si="0"/>
        <v>757655562</v>
      </c>
      <c r="F6" s="6">
        <f>SUM(F7,F21,F26,F36,F67,F81,F57,F99)</f>
        <v>271004644.75</v>
      </c>
      <c r="G6" s="6">
        <f>SUM(G7,G21,G26,G36,G67,G81,G57,G99)</f>
        <v>48724184.730000004</v>
      </c>
      <c r="H6" s="6">
        <f t="shared" si="1"/>
        <v>319728829.48</v>
      </c>
      <c r="I6" s="76">
        <f t="shared" si="2"/>
        <v>0.4219976009098446</v>
      </c>
      <c r="J6" s="72"/>
      <c r="K6" s="74"/>
      <c r="L6" s="74"/>
      <c r="M6" s="74"/>
      <c r="N6" s="74"/>
    </row>
    <row r="7" spans="1:14" s="10" customFormat="1" ht="17.25" customHeight="1">
      <c r="A7" s="22">
        <v>1</v>
      </c>
      <c r="B7" s="24" t="s">
        <v>127</v>
      </c>
      <c r="C7" s="8">
        <f>SUM(C8:C20)</f>
        <v>130699905</v>
      </c>
      <c r="D7" s="8">
        <f>SUM(D8:D20)</f>
        <v>12623530</v>
      </c>
      <c r="E7" s="8">
        <f t="shared" si="0"/>
        <v>143323435</v>
      </c>
      <c r="F7" s="8">
        <f>SUM(F8:F20)</f>
        <v>73760057.83000001</v>
      </c>
      <c r="G7" s="8">
        <f>SUM(G8:G20)</f>
        <v>6957594.91</v>
      </c>
      <c r="H7" s="8">
        <f t="shared" si="1"/>
        <v>80717652.74000001</v>
      </c>
      <c r="I7" s="76">
        <f t="shared" si="2"/>
        <v>0.5631853069946308</v>
      </c>
      <c r="J7" s="72"/>
      <c r="K7" s="75"/>
      <c r="L7" s="75"/>
      <c r="M7" s="75"/>
      <c r="N7" s="75"/>
    </row>
    <row r="8" spans="1:10" s="15" customFormat="1" ht="12.75" customHeight="1">
      <c r="A8" s="42"/>
      <c r="B8" s="62" t="s">
        <v>46</v>
      </c>
      <c r="C8" s="14">
        <f>90480000+18679400+675105</f>
        <v>109834505</v>
      </c>
      <c r="D8" s="14"/>
      <c r="E8" s="13">
        <f t="shared" si="0"/>
        <v>109834505</v>
      </c>
      <c r="F8" s="14">
        <f>50652407.13+12014268.6</f>
        <v>62666675.730000004</v>
      </c>
      <c r="G8" s="14"/>
      <c r="H8" s="13">
        <f t="shared" si="1"/>
        <v>62666675.730000004</v>
      </c>
      <c r="I8" s="76">
        <f t="shared" si="2"/>
        <v>0.570555452769601</v>
      </c>
      <c r="J8" s="81"/>
    </row>
    <row r="9" spans="1:10" s="15" customFormat="1" ht="13.5" customHeight="1">
      <c r="A9" s="42"/>
      <c r="B9" s="11" t="s">
        <v>47</v>
      </c>
      <c r="C9" s="14">
        <f>5880600+2724500</f>
        <v>8605100</v>
      </c>
      <c r="D9" s="14"/>
      <c r="E9" s="13">
        <f t="shared" si="0"/>
        <v>8605100</v>
      </c>
      <c r="F9" s="14">
        <f>2991826+969864.28</f>
        <v>3961690.2800000003</v>
      </c>
      <c r="G9" s="14"/>
      <c r="H9" s="13">
        <f t="shared" si="1"/>
        <v>3961690.2800000003</v>
      </c>
      <c r="I9" s="76">
        <f t="shared" si="2"/>
        <v>0.46038863929530166</v>
      </c>
      <c r="J9" s="81"/>
    </row>
    <row r="10" spans="1:10" s="20" customFormat="1" ht="11.25">
      <c r="A10" s="43"/>
      <c r="B10" s="61" t="s">
        <v>50</v>
      </c>
      <c r="C10" s="14">
        <f>2050+39500</f>
        <v>41550</v>
      </c>
      <c r="D10" s="19"/>
      <c r="E10" s="18">
        <f t="shared" si="0"/>
        <v>41550</v>
      </c>
      <c r="F10" s="14">
        <f>1539+20860.34</f>
        <v>22399.34</v>
      </c>
      <c r="G10" s="19"/>
      <c r="H10" s="18">
        <f t="shared" si="1"/>
        <v>22399.34</v>
      </c>
      <c r="I10" s="76">
        <f t="shared" si="2"/>
        <v>0.5390936221419976</v>
      </c>
      <c r="J10" s="82"/>
    </row>
    <row r="11" spans="1:10" s="63" customFormat="1" ht="11.25">
      <c r="A11" s="58"/>
      <c r="B11" s="62" t="s">
        <v>51</v>
      </c>
      <c r="C11" s="14">
        <f>70500+4250</f>
        <v>74750</v>
      </c>
      <c r="D11" s="14"/>
      <c r="E11" s="13">
        <f t="shared" si="0"/>
        <v>74750</v>
      </c>
      <c r="F11" s="14">
        <f>40845+3095.78</f>
        <v>43940.78</v>
      </c>
      <c r="G11" s="14"/>
      <c r="H11" s="13">
        <f t="shared" si="1"/>
        <v>43940.78</v>
      </c>
      <c r="I11" s="76">
        <f t="shared" si="2"/>
        <v>0.5878365217391304</v>
      </c>
      <c r="J11" s="83"/>
    </row>
    <row r="12" spans="1:10" s="64" customFormat="1" ht="12" customHeight="1">
      <c r="A12" s="58"/>
      <c r="B12" s="61" t="s">
        <v>52</v>
      </c>
      <c r="C12" s="14">
        <v>1000</v>
      </c>
      <c r="D12" s="14"/>
      <c r="E12" s="13">
        <f t="shared" si="0"/>
        <v>1000</v>
      </c>
      <c r="F12" s="14"/>
      <c r="G12" s="14"/>
      <c r="H12" s="13">
        <f t="shared" si="1"/>
        <v>0</v>
      </c>
      <c r="I12" s="76">
        <f t="shared" si="2"/>
        <v>0</v>
      </c>
      <c r="J12" s="84"/>
    </row>
    <row r="13" spans="1:9" s="63" customFormat="1" ht="25.5" customHeight="1">
      <c r="A13" s="65"/>
      <c r="B13" s="66" t="s">
        <v>122</v>
      </c>
      <c r="C13" s="14">
        <v>420000</v>
      </c>
      <c r="D13" s="14"/>
      <c r="E13" s="13">
        <f t="shared" si="0"/>
        <v>420000</v>
      </c>
      <c r="F13" s="14">
        <v>196186</v>
      </c>
      <c r="G13" s="14"/>
      <c r="H13" s="13">
        <f t="shared" si="1"/>
        <v>196186</v>
      </c>
      <c r="I13" s="76">
        <f t="shared" si="2"/>
        <v>0.4671095238095238</v>
      </c>
    </row>
    <row r="14" spans="1:9" s="15" customFormat="1" ht="11.25">
      <c r="A14" s="42"/>
      <c r="B14" s="11" t="s">
        <v>48</v>
      </c>
      <c r="C14" s="14">
        <v>4100000</v>
      </c>
      <c r="D14" s="14"/>
      <c r="E14" s="13">
        <f t="shared" si="0"/>
        <v>4100000</v>
      </c>
      <c r="F14" s="14">
        <v>1864218.87</v>
      </c>
      <c r="G14" s="14"/>
      <c r="H14" s="13">
        <f t="shared" si="1"/>
        <v>1864218.87</v>
      </c>
      <c r="I14" s="76">
        <f t="shared" si="2"/>
        <v>0.4546875292682927</v>
      </c>
    </row>
    <row r="15" spans="1:9" s="15" customFormat="1" ht="11.25">
      <c r="A15" s="42"/>
      <c r="B15" s="11" t="s">
        <v>77</v>
      </c>
      <c r="C15" s="14">
        <v>5200000</v>
      </c>
      <c r="D15" s="14"/>
      <c r="E15" s="13">
        <f t="shared" si="0"/>
        <v>5200000</v>
      </c>
      <c r="F15" s="14">
        <v>4138139.46</v>
      </c>
      <c r="G15" s="14"/>
      <c r="H15" s="13">
        <f t="shared" si="1"/>
        <v>4138139.46</v>
      </c>
      <c r="I15" s="76">
        <f t="shared" si="2"/>
        <v>0.79579605</v>
      </c>
    </row>
    <row r="16" spans="1:9" s="15" customFormat="1" ht="11.25">
      <c r="A16" s="47"/>
      <c r="B16" s="26" t="s">
        <v>13</v>
      </c>
      <c r="C16" s="14"/>
      <c r="D16" s="14">
        <v>5365000</v>
      </c>
      <c r="E16" s="13">
        <f t="shared" si="0"/>
        <v>5365000</v>
      </c>
      <c r="F16" s="14"/>
      <c r="G16" s="14">
        <v>2415094.5</v>
      </c>
      <c r="H16" s="13">
        <f t="shared" si="1"/>
        <v>2415094.5</v>
      </c>
      <c r="I16" s="76">
        <f t="shared" si="2"/>
        <v>0.4501574091332712</v>
      </c>
    </row>
    <row r="17" spans="1:9" s="63" customFormat="1" ht="14.25" customHeight="1">
      <c r="A17" s="58"/>
      <c r="B17" s="61" t="s">
        <v>131</v>
      </c>
      <c r="C17" s="14">
        <f>823000+150000</f>
        <v>973000</v>
      </c>
      <c r="D17" s="14"/>
      <c r="E17" s="13">
        <f t="shared" si="0"/>
        <v>973000</v>
      </c>
      <c r="F17" s="14">
        <f>219465.4+20247.75</f>
        <v>239713.15</v>
      </c>
      <c r="G17" s="14"/>
      <c r="H17" s="13">
        <f t="shared" si="1"/>
        <v>239713.15</v>
      </c>
      <c r="I17" s="76">
        <f t="shared" si="2"/>
        <v>0.24636500513874615</v>
      </c>
    </row>
    <row r="18" spans="1:9" s="63" customFormat="1" ht="22.5" customHeight="1">
      <c r="A18" s="58"/>
      <c r="B18" s="61" t="s">
        <v>10</v>
      </c>
      <c r="C18" s="14"/>
      <c r="D18" s="14">
        <f>5143620+40000+70910+610000+500000+60000+34000+800000</f>
        <v>7258530</v>
      </c>
      <c r="E18" s="13">
        <f t="shared" si="0"/>
        <v>7258530</v>
      </c>
      <c r="F18" s="14"/>
      <c r="G18" s="14">
        <f>20083+134441.37+4387976.04</f>
        <v>4542500.41</v>
      </c>
      <c r="H18" s="13">
        <f t="shared" si="1"/>
        <v>4542500.41</v>
      </c>
      <c r="I18" s="76">
        <f t="shared" si="2"/>
        <v>0.6258154764118906</v>
      </c>
    </row>
    <row r="19" spans="1:9" s="64" customFormat="1" ht="11.25" customHeight="1">
      <c r="A19" s="65"/>
      <c r="B19" s="62" t="s">
        <v>63</v>
      </c>
      <c r="C19" s="14">
        <v>250000</v>
      </c>
      <c r="D19" s="14"/>
      <c r="E19" s="13">
        <f t="shared" si="0"/>
        <v>250000</v>
      </c>
      <c r="F19" s="14">
        <v>274510.57</v>
      </c>
      <c r="G19" s="14"/>
      <c r="H19" s="13">
        <f t="shared" si="1"/>
        <v>274510.57</v>
      </c>
      <c r="I19" s="76">
        <f t="shared" si="2"/>
        <v>1.09804228</v>
      </c>
    </row>
    <row r="20" spans="1:9" s="69" customFormat="1" ht="11.25">
      <c r="A20" s="67"/>
      <c r="B20" s="68" t="s">
        <v>53</v>
      </c>
      <c r="C20" s="14">
        <f>900000+300000</f>
        <v>1200000</v>
      </c>
      <c r="D20" s="14"/>
      <c r="E20" s="13">
        <f t="shared" si="0"/>
        <v>1200000</v>
      </c>
      <c r="F20" s="14">
        <f>180477.02+172106.63</f>
        <v>352583.65</v>
      </c>
      <c r="G20" s="14"/>
      <c r="H20" s="13">
        <f t="shared" si="1"/>
        <v>352583.65</v>
      </c>
      <c r="I20" s="76">
        <f t="shared" si="2"/>
        <v>0.2938197083333334</v>
      </c>
    </row>
    <row r="21" spans="1:9" s="9" customFormat="1" ht="14.25" customHeight="1">
      <c r="A21" s="22">
        <v>2</v>
      </c>
      <c r="B21" s="23" t="s">
        <v>54</v>
      </c>
      <c r="C21" s="8">
        <f>SUM(C22:C25)</f>
        <v>31300000</v>
      </c>
      <c r="D21" s="8">
        <f>SUM(D22:D25)</f>
        <v>0</v>
      </c>
      <c r="E21" s="8">
        <f t="shared" si="0"/>
        <v>31300000</v>
      </c>
      <c r="F21" s="8">
        <f>SUM(F22:F25)</f>
        <v>15134857.9</v>
      </c>
      <c r="G21" s="8">
        <f>SUM(G22:G25)</f>
        <v>0</v>
      </c>
      <c r="H21" s="8">
        <f t="shared" si="1"/>
        <v>15134857.9</v>
      </c>
      <c r="I21" s="76">
        <f t="shared" si="2"/>
        <v>0.48354178594249203</v>
      </c>
    </row>
    <row r="22" spans="1:9" s="15" customFormat="1" ht="11.25">
      <c r="A22" s="42"/>
      <c r="B22" s="16" t="s">
        <v>55</v>
      </c>
      <c r="C22" s="14">
        <v>800000</v>
      </c>
      <c r="D22" s="14"/>
      <c r="E22" s="13">
        <f t="shared" si="0"/>
        <v>800000</v>
      </c>
      <c r="F22" s="14">
        <v>339265.08</v>
      </c>
      <c r="G22" s="14"/>
      <c r="H22" s="13">
        <f t="shared" si="1"/>
        <v>339265.08</v>
      </c>
      <c r="I22" s="76">
        <f t="shared" si="2"/>
        <v>0.42408135</v>
      </c>
    </row>
    <row r="23" spans="1:9" s="15" customFormat="1" ht="12" customHeight="1">
      <c r="A23" s="42"/>
      <c r="B23" s="16" t="s">
        <v>56</v>
      </c>
      <c r="C23" s="14">
        <v>3500000</v>
      </c>
      <c r="D23" s="14"/>
      <c r="E23" s="13">
        <f t="shared" si="0"/>
        <v>3500000</v>
      </c>
      <c r="F23" s="14">
        <v>1832005.96</v>
      </c>
      <c r="G23" s="14"/>
      <c r="H23" s="13">
        <f t="shared" si="1"/>
        <v>1832005.96</v>
      </c>
      <c r="I23" s="76">
        <f t="shared" si="2"/>
        <v>0.5234302742857143</v>
      </c>
    </row>
    <row r="24" spans="1:9" s="15" customFormat="1" ht="12" customHeight="1">
      <c r="A24" s="42"/>
      <c r="B24" s="16" t="s">
        <v>57</v>
      </c>
      <c r="C24" s="14">
        <v>27000000</v>
      </c>
      <c r="D24" s="14"/>
      <c r="E24" s="13">
        <f t="shared" si="0"/>
        <v>27000000</v>
      </c>
      <c r="F24" s="14">
        <f>136075.99+12811535.22</f>
        <v>12947611.21</v>
      </c>
      <c r="G24" s="14"/>
      <c r="H24" s="13">
        <f t="shared" si="1"/>
        <v>12947611.21</v>
      </c>
      <c r="I24" s="76">
        <f t="shared" si="2"/>
        <v>0.47954115592592594</v>
      </c>
    </row>
    <row r="25" spans="1:9" s="15" customFormat="1" ht="15" customHeight="1">
      <c r="A25" s="42"/>
      <c r="B25" s="16" t="s">
        <v>58</v>
      </c>
      <c r="C25" s="14"/>
      <c r="D25" s="14"/>
      <c r="E25" s="13">
        <f t="shared" si="0"/>
        <v>0</v>
      </c>
      <c r="F25" s="14">
        <v>15975.65</v>
      </c>
      <c r="G25" s="14"/>
      <c r="H25" s="13">
        <f t="shared" si="1"/>
        <v>15975.65</v>
      </c>
      <c r="I25" s="76"/>
    </row>
    <row r="26" spans="1:9" s="10" customFormat="1" ht="13.5" customHeight="1">
      <c r="A26" s="22">
        <v>3</v>
      </c>
      <c r="B26" s="24" t="s">
        <v>128</v>
      </c>
      <c r="C26" s="8">
        <f>SUM(C27:C32)</f>
        <v>127143545</v>
      </c>
      <c r="D26" s="8">
        <f>SUM(D27:D32)</f>
        <v>103570</v>
      </c>
      <c r="E26" s="25">
        <f t="shared" si="0"/>
        <v>127247115</v>
      </c>
      <c r="F26" s="8">
        <f>SUM(F27:F32)</f>
        <v>40852489.74999999</v>
      </c>
      <c r="G26" s="8">
        <f>SUM(G27:G32)</f>
        <v>26280.64</v>
      </c>
      <c r="H26" s="25">
        <f t="shared" si="1"/>
        <v>40878770.38999999</v>
      </c>
      <c r="I26" s="76">
        <f aca="true" t="shared" si="3" ref="I26:I50">H26/E26</f>
        <v>0.3212549879028691</v>
      </c>
    </row>
    <row r="27" spans="1:9" s="15" customFormat="1" ht="15" customHeight="1">
      <c r="A27" s="42"/>
      <c r="B27" s="16" t="s">
        <v>59</v>
      </c>
      <c r="C27" s="14">
        <f>31300000+59500000</f>
        <v>90800000</v>
      </c>
      <c r="D27" s="14"/>
      <c r="E27" s="13">
        <f t="shared" si="0"/>
        <v>90800000</v>
      </c>
      <c r="F27" s="14">
        <v>24046018.47</v>
      </c>
      <c r="G27" s="14"/>
      <c r="H27" s="13">
        <f t="shared" si="1"/>
        <v>24046018.47</v>
      </c>
      <c r="I27" s="76">
        <f t="shared" si="3"/>
        <v>0.2648239919603524</v>
      </c>
    </row>
    <row r="28" spans="1:9" s="15" customFormat="1" ht="11.25">
      <c r="A28" s="42"/>
      <c r="B28" s="16" t="s">
        <v>130</v>
      </c>
      <c r="C28" s="14">
        <v>3900000</v>
      </c>
      <c r="D28" s="14"/>
      <c r="E28" s="13">
        <f t="shared" si="0"/>
        <v>3900000</v>
      </c>
      <c r="F28" s="14">
        <v>828412.56</v>
      </c>
      <c r="G28" s="14"/>
      <c r="H28" s="13">
        <f t="shared" si="1"/>
        <v>828412.56</v>
      </c>
      <c r="I28" s="76">
        <f t="shared" si="3"/>
        <v>0.21241347692307694</v>
      </c>
    </row>
    <row r="29" spans="1:9" s="15" customFormat="1" ht="11.25">
      <c r="A29" s="42" t="s">
        <v>141</v>
      </c>
      <c r="B29" s="16" t="s">
        <v>60</v>
      </c>
      <c r="C29" s="14">
        <v>9000000</v>
      </c>
      <c r="D29" s="14"/>
      <c r="E29" s="13">
        <f t="shared" si="0"/>
        <v>9000000</v>
      </c>
      <c r="F29" s="14">
        <v>4483438.79</v>
      </c>
      <c r="G29" s="14"/>
      <c r="H29" s="13">
        <f t="shared" si="1"/>
        <v>4483438.79</v>
      </c>
      <c r="I29" s="76">
        <f t="shared" si="3"/>
        <v>0.4981598655555556</v>
      </c>
    </row>
    <row r="30" spans="1:9" s="15" customFormat="1" ht="11.25">
      <c r="A30" s="42"/>
      <c r="B30" s="16" t="s">
        <v>61</v>
      </c>
      <c r="C30" s="14">
        <v>4000000</v>
      </c>
      <c r="D30" s="14"/>
      <c r="E30" s="13">
        <f t="shared" si="0"/>
        <v>4000000</v>
      </c>
      <c r="F30" s="14">
        <v>1452541.81</v>
      </c>
      <c r="G30" s="14"/>
      <c r="H30" s="13">
        <f t="shared" si="1"/>
        <v>1452541.81</v>
      </c>
      <c r="I30" s="76">
        <f t="shared" si="3"/>
        <v>0.3631354525</v>
      </c>
    </row>
    <row r="31" spans="1:9" s="15" customFormat="1" ht="11.25">
      <c r="A31" s="42"/>
      <c r="B31" s="16" t="s">
        <v>62</v>
      </c>
      <c r="C31" s="14">
        <v>5700000</v>
      </c>
      <c r="D31" s="14"/>
      <c r="E31" s="13">
        <f t="shared" si="0"/>
        <v>5700000</v>
      </c>
      <c r="F31" s="14">
        <v>4294724.62</v>
      </c>
      <c r="G31" s="14"/>
      <c r="H31" s="13">
        <f t="shared" si="1"/>
        <v>4294724.62</v>
      </c>
      <c r="I31" s="76">
        <f t="shared" si="3"/>
        <v>0.7534604596491228</v>
      </c>
    </row>
    <row r="32" spans="1:9" s="15" customFormat="1" ht="11.25">
      <c r="A32" s="42"/>
      <c r="B32" s="16" t="s">
        <v>49</v>
      </c>
      <c r="C32" s="14">
        <f>SUM(C33:C35)</f>
        <v>13743545</v>
      </c>
      <c r="D32" s="14">
        <f>SUM(D33:D35)</f>
        <v>103570</v>
      </c>
      <c r="E32" s="13">
        <f t="shared" si="0"/>
        <v>13847115</v>
      </c>
      <c r="F32" s="14">
        <f>SUM(F33:F35)</f>
        <v>5747353.5</v>
      </c>
      <c r="G32" s="14">
        <f>SUM(G33:G35)</f>
        <v>26280.64</v>
      </c>
      <c r="H32" s="13">
        <f t="shared" si="1"/>
        <v>5773634.14</v>
      </c>
      <c r="I32" s="76">
        <f t="shared" si="3"/>
        <v>0.4169557442109782</v>
      </c>
    </row>
    <row r="33" spans="1:9" s="20" customFormat="1" ht="12.75" customHeight="1">
      <c r="A33" s="45"/>
      <c r="B33" s="17" t="s">
        <v>64</v>
      </c>
      <c r="C33" s="19">
        <v>475000</v>
      </c>
      <c r="D33" s="19"/>
      <c r="E33" s="18">
        <f t="shared" si="0"/>
        <v>475000</v>
      </c>
      <c r="F33" s="19">
        <v>235324.26</v>
      </c>
      <c r="G33" s="19"/>
      <c r="H33" s="18">
        <f t="shared" si="1"/>
        <v>235324.26</v>
      </c>
      <c r="I33" s="76">
        <f t="shared" si="3"/>
        <v>0.4954194947368421</v>
      </c>
    </row>
    <row r="34" spans="1:9" s="53" customFormat="1" ht="23.25" customHeight="1">
      <c r="A34" s="51"/>
      <c r="B34" s="52" t="s">
        <v>65</v>
      </c>
      <c r="C34" s="19">
        <f>10670958+300000+1185611+366000+28932+30000+588424</f>
        <v>13169925</v>
      </c>
      <c r="D34" s="19">
        <f>8520+40000</f>
        <v>48520</v>
      </c>
      <c r="E34" s="18">
        <f t="shared" si="0"/>
        <v>13218445</v>
      </c>
      <c r="F34" s="19">
        <f>10347.04+4497491.72+576549.15+69008.16+13365.72+242125.41</f>
        <v>5408887.2</v>
      </c>
      <c r="G34" s="19">
        <v>900</v>
      </c>
      <c r="H34" s="18">
        <f aca="true" t="shared" si="4" ref="H34:H54">SUM(F34:G34)</f>
        <v>5409787.2</v>
      </c>
      <c r="I34" s="76">
        <f t="shared" si="3"/>
        <v>0.40926048411897165</v>
      </c>
    </row>
    <row r="35" spans="1:10" s="21" customFormat="1" ht="13.5" customHeight="1">
      <c r="A35" s="45"/>
      <c r="B35" s="17" t="s">
        <v>66</v>
      </c>
      <c r="C35" s="19">
        <f>96220+2400</f>
        <v>98620</v>
      </c>
      <c r="D35" s="19">
        <f>13630+7000+34420</f>
        <v>55050</v>
      </c>
      <c r="E35" s="18">
        <f t="shared" si="0"/>
        <v>153670</v>
      </c>
      <c r="F35" s="19">
        <f>46205.81+53352.74+3583.49</f>
        <v>103142.04</v>
      </c>
      <c r="G35" s="19">
        <f>558.03+4890.78+4149.99+4526.26+11255.58</f>
        <v>25380.64</v>
      </c>
      <c r="H35" s="18">
        <f t="shared" si="4"/>
        <v>128522.68</v>
      </c>
      <c r="I35" s="76">
        <f t="shared" si="3"/>
        <v>0.8363550465282749</v>
      </c>
      <c r="J35" s="85"/>
    </row>
    <row r="36" spans="1:9" s="10" customFormat="1" ht="12">
      <c r="A36" s="22">
        <v>4</v>
      </c>
      <c r="B36" s="24" t="s">
        <v>67</v>
      </c>
      <c r="C36" s="8">
        <f>SUM(C37:C52)</f>
        <v>72947485</v>
      </c>
      <c r="D36" s="8">
        <f>SUM(D37:D52)</f>
        <v>2947470</v>
      </c>
      <c r="E36" s="25">
        <f t="shared" si="0"/>
        <v>75894955</v>
      </c>
      <c r="F36" s="8">
        <f>SUM(F37:F52)</f>
        <v>35967379.74</v>
      </c>
      <c r="G36" s="8">
        <f>SUM(G37:G52)</f>
        <v>2593630.5000000005</v>
      </c>
      <c r="H36" s="25">
        <f t="shared" si="4"/>
        <v>38561010.24</v>
      </c>
      <c r="I36" s="76">
        <f t="shared" si="3"/>
        <v>0.5080839726435045</v>
      </c>
    </row>
    <row r="37" spans="1:9" s="15" customFormat="1" ht="12" customHeight="1">
      <c r="A37" s="42"/>
      <c r="B37" s="16" t="s">
        <v>68</v>
      </c>
      <c r="C37" s="14">
        <f>63237486+3950000+30000-2690818-100000</f>
        <v>64426668</v>
      </c>
      <c r="D37" s="86"/>
      <c r="E37" s="13">
        <f>SUM(C37:C37)</f>
        <v>64426668</v>
      </c>
      <c r="F37" s="14">
        <f>30805599.73+35159.3+486307.72-460107.11</f>
        <v>30866959.64</v>
      </c>
      <c r="G37" s="86"/>
      <c r="H37" s="13">
        <f t="shared" si="4"/>
        <v>30866959.64</v>
      </c>
      <c r="I37" s="76">
        <f t="shared" si="3"/>
        <v>0.4791022195963945</v>
      </c>
    </row>
    <row r="38" spans="1:9" s="15" customFormat="1" ht="19.5" customHeight="1">
      <c r="A38" s="42"/>
      <c r="B38" s="16" t="s">
        <v>126</v>
      </c>
      <c r="C38" s="14">
        <v>2690818</v>
      </c>
      <c r="D38" s="14"/>
      <c r="E38" s="13">
        <f aca="true" t="shared" si="5" ref="E38:E58">SUM(C38:D38)</f>
        <v>2690818</v>
      </c>
      <c r="F38" s="14">
        <v>460107.11</v>
      </c>
      <c r="G38" s="14"/>
      <c r="H38" s="13">
        <f t="shared" si="4"/>
        <v>460107.11</v>
      </c>
      <c r="I38" s="76">
        <f t="shared" si="3"/>
        <v>0.1709915386324902</v>
      </c>
    </row>
    <row r="39" spans="1:9" s="15" customFormat="1" ht="22.5">
      <c r="A39" s="42"/>
      <c r="B39" s="16" t="s">
        <v>142</v>
      </c>
      <c r="C39" s="14">
        <v>2435756</v>
      </c>
      <c r="D39" s="14">
        <v>400000</v>
      </c>
      <c r="E39" s="13">
        <f t="shared" si="5"/>
        <v>2835756</v>
      </c>
      <c r="F39" s="14">
        <v>324236.78</v>
      </c>
      <c r="G39" s="14">
        <v>188653.12</v>
      </c>
      <c r="H39" s="13">
        <f t="shared" si="4"/>
        <v>512889.9</v>
      </c>
      <c r="I39" s="76">
        <f t="shared" si="3"/>
        <v>0.1808653142230855</v>
      </c>
    </row>
    <row r="40" spans="1:9" s="15" customFormat="1" ht="11.25">
      <c r="A40" s="42"/>
      <c r="B40" s="16" t="s">
        <v>31</v>
      </c>
      <c r="C40" s="14">
        <v>300000</v>
      </c>
      <c r="D40" s="14"/>
      <c r="E40" s="13">
        <f t="shared" si="5"/>
        <v>300000</v>
      </c>
      <c r="F40" s="14">
        <v>129061.45</v>
      </c>
      <c r="G40" s="14"/>
      <c r="H40" s="13">
        <f t="shared" si="4"/>
        <v>129061.45</v>
      </c>
      <c r="I40" s="76">
        <f t="shared" si="3"/>
        <v>0.4302048333333333</v>
      </c>
    </row>
    <row r="41" spans="1:9" s="15" customFormat="1" ht="18.75" customHeight="1">
      <c r="A41" s="42"/>
      <c r="B41" s="16" t="s">
        <v>69</v>
      </c>
      <c r="C41" s="14">
        <v>282034</v>
      </c>
      <c r="D41" s="14"/>
      <c r="E41" s="13">
        <f t="shared" si="5"/>
        <v>282034</v>
      </c>
      <c r="F41" s="14">
        <v>168258</v>
      </c>
      <c r="G41" s="14"/>
      <c r="H41" s="13">
        <f t="shared" si="4"/>
        <v>168258</v>
      </c>
      <c r="I41" s="76">
        <f t="shared" si="3"/>
        <v>0.5965876454611855</v>
      </c>
    </row>
    <row r="42" spans="1:9" s="15" customFormat="1" ht="11.25">
      <c r="A42" s="42"/>
      <c r="B42" s="16" t="s">
        <v>70</v>
      </c>
      <c r="C42" s="14">
        <f>588320+436240</f>
        <v>1024560</v>
      </c>
      <c r="D42" s="14"/>
      <c r="E42" s="13">
        <f t="shared" si="5"/>
        <v>1024560</v>
      </c>
      <c r="F42" s="14">
        <f>306128.36+261887.33</f>
        <v>568015.69</v>
      </c>
      <c r="G42" s="14"/>
      <c r="H42" s="13">
        <f t="shared" si="4"/>
        <v>568015.69</v>
      </c>
      <c r="I42" s="76">
        <f t="shared" si="3"/>
        <v>0.5543996349652534</v>
      </c>
    </row>
    <row r="43" spans="1:9" s="15" customFormat="1" ht="16.5" customHeight="1">
      <c r="A43" s="42"/>
      <c r="B43" s="16" t="s">
        <v>71</v>
      </c>
      <c r="C43" s="14">
        <v>788831</v>
      </c>
      <c r="D43" s="14"/>
      <c r="E43" s="13">
        <f t="shared" si="5"/>
        <v>788831</v>
      </c>
      <c r="F43" s="14">
        <v>430299.85</v>
      </c>
      <c r="G43" s="14"/>
      <c r="H43" s="13">
        <f t="shared" si="4"/>
        <v>430299.85</v>
      </c>
      <c r="I43" s="76">
        <f t="shared" si="3"/>
        <v>0.5454905423341628</v>
      </c>
    </row>
    <row r="44" spans="1:9" s="15" customFormat="1" ht="15" customHeight="1">
      <c r="A44" s="42"/>
      <c r="B44" s="16" t="s">
        <v>72</v>
      </c>
      <c r="C44" s="14"/>
      <c r="D44" s="14">
        <v>467000</v>
      </c>
      <c r="E44" s="13">
        <f t="shared" si="5"/>
        <v>467000</v>
      </c>
      <c r="F44" s="14"/>
      <c r="G44" s="14">
        <v>272634.59</v>
      </c>
      <c r="H44" s="13">
        <f t="shared" si="4"/>
        <v>272634.59</v>
      </c>
      <c r="I44" s="76">
        <f t="shared" si="3"/>
        <v>0.5837999785867238</v>
      </c>
    </row>
    <row r="45" spans="1:9" s="15" customFormat="1" ht="11.25">
      <c r="A45" s="42"/>
      <c r="B45" s="16" t="s">
        <v>140</v>
      </c>
      <c r="C45" s="14">
        <v>95000</v>
      </c>
      <c r="D45" s="14"/>
      <c r="E45" s="13">
        <f t="shared" si="5"/>
        <v>95000</v>
      </c>
      <c r="F45" s="14">
        <v>53085.34</v>
      </c>
      <c r="G45" s="14"/>
      <c r="H45" s="13">
        <f t="shared" si="4"/>
        <v>53085.34</v>
      </c>
      <c r="I45" s="76">
        <f t="shared" si="3"/>
        <v>0.5587930526315789</v>
      </c>
    </row>
    <row r="46" spans="1:11" s="15" customFormat="1" ht="33.75">
      <c r="A46" s="42"/>
      <c r="B46" s="16" t="s">
        <v>74</v>
      </c>
      <c r="C46" s="14">
        <f>28500+16000</f>
        <v>44500</v>
      </c>
      <c r="D46" s="14">
        <f>22000+38000</f>
        <v>60000</v>
      </c>
      <c r="E46" s="13">
        <f t="shared" si="5"/>
        <v>104500</v>
      </c>
      <c r="F46" s="14">
        <f>18524+25225.5+99719.09</f>
        <v>143468.59</v>
      </c>
      <c r="G46" s="14">
        <f>23093+34133.24</f>
        <v>57226.24</v>
      </c>
      <c r="H46" s="13">
        <f t="shared" si="4"/>
        <v>200694.83</v>
      </c>
      <c r="I46" s="76">
        <f t="shared" si="3"/>
        <v>1.9205246889952152</v>
      </c>
      <c r="J46" s="81"/>
      <c r="K46" s="81"/>
    </row>
    <row r="47" spans="1:11" s="15" customFormat="1" ht="13.5" customHeight="1">
      <c r="A47" s="42"/>
      <c r="B47" s="59" t="s">
        <v>132</v>
      </c>
      <c r="C47" s="14">
        <f>289290+110710</f>
        <v>400000</v>
      </c>
      <c r="D47" s="14"/>
      <c r="E47" s="13">
        <f t="shared" si="5"/>
        <v>400000</v>
      </c>
      <c r="F47" s="14">
        <v>184620.43</v>
      </c>
      <c r="G47" s="14"/>
      <c r="H47" s="13">
        <f t="shared" si="4"/>
        <v>184620.43</v>
      </c>
      <c r="I47" s="76">
        <f t="shared" si="3"/>
        <v>0.461551075</v>
      </c>
      <c r="J47" s="81"/>
      <c r="K47" s="81"/>
    </row>
    <row r="48" spans="1:11" s="15" customFormat="1" ht="17.25" customHeight="1">
      <c r="A48" s="46"/>
      <c r="B48" s="11" t="s">
        <v>75</v>
      </c>
      <c r="C48" s="14"/>
      <c r="D48" s="14">
        <v>1992500</v>
      </c>
      <c r="E48" s="13">
        <f t="shared" si="5"/>
        <v>1992500</v>
      </c>
      <c r="F48" s="14"/>
      <c r="G48" s="14">
        <v>1807191.52</v>
      </c>
      <c r="H48" s="13">
        <f t="shared" si="4"/>
        <v>1807191.52</v>
      </c>
      <c r="I48" s="76">
        <f t="shared" si="3"/>
        <v>0.9069969987452948</v>
      </c>
      <c r="J48" s="81"/>
      <c r="K48" s="81"/>
    </row>
    <row r="49" spans="1:11" s="15" customFormat="1" ht="21.75" customHeight="1">
      <c r="A49" s="46"/>
      <c r="B49" s="16" t="s">
        <v>76</v>
      </c>
      <c r="C49" s="14">
        <f>2356+5282+1790</f>
        <v>9428</v>
      </c>
      <c r="D49" s="14">
        <v>900</v>
      </c>
      <c r="E49" s="13">
        <f t="shared" si="5"/>
        <v>10328</v>
      </c>
      <c r="F49" s="14">
        <f>1091.12+2309.31+1482.29</f>
        <v>4882.719999999999</v>
      </c>
      <c r="G49" s="14">
        <f>108.5+3.03+460.61</f>
        <v>572.14</v>
      </c>
      <c r="H49" s="13">
        <f t="shared" si="4"/>
        <v>5454.86</v>
      </c>
      <c r="I49" s="76">
        <f t="shared" si="3"/>
        <v>0.5281622773044151</v>
      </c>
      <c r="J49" s="81"/>
      <c r="K49" s="81"/>
    </row>
    <row r="50" spans="1:11" s="15" customFormat="1" ht="11.25" customHeight="1">
      <c r="A50" s="42"/>
      <c r="B50" s="16" t="s">
        <v>78</v>
      </c>
      <c r="C50" s="14">
        <v>10000</v>
      </c>
      <c r="D50" s="14"/>
      <c r="E50" s="13">
        <f t="shared" si="5"/>
        <v>10000</v>
      </c>
      <c r="F50" s="14">
        <v>6006.05</v>
      </c>
      <c r="G50" s="14"/>
      <c r="H50" s="13">
        <f t="shared" si="4"/>
        <v>6006.05</v>
      </c>
      <c r="I50" s="76">
        <f t="shared" si="3"/>
        <v>0.600605</v>
      </c>
      <c r="J50" s="81"/>
      <c r="K50" s="81"/>
    </row>
    <row r="51" spans="1:11" s="1" customFormat="1" ht="10.5" customHeight="1">
      <c r="A51" s="47"/>
      <c r="B51" s="26" t="s">
        <v>79</v>
      </c>
      <c r="C51" s="14">
        <v>100000</v>
      </c>
      <c r="D51" s="14"/>
      <c r="E51" s="13">
        <f t="shared" si="5"/>
        <v>100000</v>
      </c>
      <c r="F51" s="14">
        <v>350031.41</v>
      </c>
      <c r="G51" s="14"/>
      <c r="H51" s="13">
        <f t="shared" si="4"/>
        <v>350031.41</v>
      </c>
      <c r="I51" s="76">
        <f aca="true" t="shared" si="6" ref="I51:I64">H51/E51</f>
        <v>3.5003140999999998</v>
      </c>
      <c r="J51" s="3"/>
      <c r="K51" s="3"/>
    </row>
    <row r="52" spans="1:11" s="15" customFormat="1" ht="15" customHeight="1">
      <c r="A52" s="42"/>
      <c r="B52" s="16" t="s">
        <v>80</v>
      </c>
      <c r="C52" s="14">
        <f>SUM(C53:C56)</f>
        <v>339890</v>
      </c>
      <c r="D52" s="14">
        <f>SUM(D53:D56)</f>
        <v>27070</v>
      </c>
      <c r="E52" s="13">
        <f t="shared" si="5"/>
        <v>366960</v>
      </c>
      <c r="F52" s="14">
        <f>SUM(F53:F56)</f>
        <v>2278346.6799999997</v>
      </c>
      <c r="G52" s="14">
        <f>SUM(G53:G56)</f>
        <v>267352.89</v>
      </c>
      <c r="H52" s="13">
        <f t="shared" si="4"/>
        <v>2545699.57</v>
      </c>
      <c r="I52" s="76">
        <f t="shared" si="6"/>
        <v>6.937267195334641</v>
      </c>
      <c r="J52" s="81"/>
      <c r="K52" s="81"/>
    </row>
    <row r="53" spans="1:11" s="53" customFormat="1" ht="14.25" customHeight="1">
      <c r="A53" s="51"/>
      <c r="B53" s="52" t="s">
        <v>117</v>
      </c>
      <c r="C53" s="19"/>
      <c r="D53" s="19"/>
      <c r="E53" s="18">
        <f t="shared" si="5"/>
        <v>0</v>
      </c>
      <c r="F53" s="19">
        <v>86582.26</v>
      </c>
      <c r="G53" s="19"/>
      <c r="H53" s="18">
        <f t="shared" si="4"/>
        <v>86582.26</v>
      </c>
      <c r="I53" s="76"/>
      <c r="J53" s="98"/>
      <c r="K53" s="98"/>
    </row>
    <row r="54" spans="1:11" s="20" customFormat="1" ht="11.25" customHeight="1">
      <c r="A54" s="45"/>
      <c r="B54" s="17" t="s">
        <v>81</v>
      </c>
      <c r="C54" s="19">
        <v>300000</v>
      </c>
      <c r="D54" s="19"/>
      <c r="E54" s="18">
        <f t="shared" si="5"/>
        <v>300000</v>
      </c>
      <c r="F54" s="19">
        <v>89367.49</v>
      </c>
      <c r="G54" s="19"/>
      <c r="H54" s="18">
        <f t="shared" si="4"/>
        <v>89367.49</v>
      </c>
      <c r="I54" s="76">
        <f t="shared" si="6"/>
        <v>0.29789163333333335</v>
      </c>
      <c r="J54" s="73"/>
      <c r="K54" s="82"/>
    </row>
    <row r="55" spans="1:11" s="20" customFormat="1" ht="14.25" customHeight="1">
      <c r="A55" s="43"/>
      <c r="B55" s="17" t="s">
        <v>82</v>
      </c>
      <c r="C55" s="19">
        <f>34000+800+3808+1282</f>
        <v>39890</v>
      </c>
      <c r="D55" s="19">
        <f>1700+220+25150</f>
        <v>27070</v>
      </c>
      <c r="E55" s="18">
        <f t="shared" si="5"/>
        <v>66960</v>
      </c>
      <c r="F55" s="19">
        <f>6359.41+34312.49+130.2+37606.73+111734.1+6770.48+138+270.03+10730.35+4600+2878.19+36912.69+280+23828.71+6524.99+20+0.6+135+521.85+384.92+42786.28+6.09+202.21+41.46+127.4+3569.39+20854.82+2408.84+26327.98+15909.75+662.58+9291.94+352.8+17.6+38572+119.7+930.47+27370.88+2356.01+14850.21+5691.27+9307.22+597259.36+2164.79+13467.78+102794+2644.63+4037.31</f>
        <v>1228263.51</v>
      </c>
      <c r="G55" s="19">
        <f>6370.16+175715.36+759.58+420+900.32+5541.76+1255.31+4620.51+16.7+805.6+51.7+595.59+134+1852.14+1251.96+3392.9+1.24+5158.96+21255.11+435.99+0.22+595.52+34398.91</f>
        <v>265529.54000000004</v>
      </c>
      <c r="H55" s="18">
        <f>SUM(F55:G55)</f>
        <v>1493793.05</v>
      </c>
      <c r="I55" s="76">
        <f t="shared" si="6"/>
        <v>22.30873730585424</v>
      </c>
      <c r="J55" s="73"/>
      <c r="K55" s="73"/>
    </row>
    <row r="56" spans="1:9" s="20" customFormat="1" ht="25.5" customHeight="1">
      <c r="A56" s="43"/>
      <c r="B56" s="17" t="s">
        <v>35</v>
      </c>
      <c r="C56" s="19"/>
      <c r="D56" s="19"/>
      <c r="E56" s="18">
        <f t="shared" si="5"/>
        <v>0</v>
      </c>
      <c r="F56" s="19">
        <f>30+51+602.08+452881.43+52511.66+36.35+17759.2+500+46378.03+29416.4+307.72+3083.02+120179.35+7.44+1481.73+511.62+37+103.53+147655.86+600</f>
        <v>874133.4199999999</v>
      </c>
      <c r="G56" s="19">
        <f>6.41+1427.4+389.54</f>
        <v>1823.3500000000001</v>
      </c>
      <c r="H56" s="18">
        <f>SUM(F56:G56)</f>
        <v>875956.7699999999</v>
      </c>
      <c r="I56" s="76"/>
    </row>
    <row r="57" spans="1:9" s="10" customFormat="1" ht="17.25" customHeight="1">
      <c r="A57" s="22">
        <v>5</v>
      </c>
      <c r="B57" s="24" t="s">
        <v>129</v>
      </c>
      <c r="C57" s="8">
        <f>SUM(C58:C66)</f>
        <v>9105127</v>
      </c>
      <c r="D57" s="8">
        <f>SUM(D58:D66)</f>
        <v>1215547</v>
      </c>
      <c r="E57" s="25">
        <f t="shared" si="5"/>
        <v>10320674</v>
      </c>
      <c r="F57" s="8">
        <f>SUM(F58:F66)</f>
        <v>3763618.36</v>
      </c>
      <c r="G57" s="8">
        <f>SUM(G58:G66)</f>
        <v>580568.3500000001</v>
      </c>
      <c r="H57" s="25">
        <f>SUM(F57:G57)</f>
        <v>4344186.71</v>
      </c>
      <c r="I57" s="76">
        <f t="shared" si="6"/>
        <v>0.42092083424008936</v>
      </c>
    </row>
    <row r="58" spans="1:9" s="29" customFormat="1" ht="12.75" customHeight="1">
      <c r="A58" s="47"/>
      <c r="B58" s="27" t="s">
        <v>83</v>
      </c>
      <c r="C58" s="14">
        <f>123312+15708</f>
        <v>139020</v>
      </c>
      <c r="D58" s="14"/>
      <c r="E58" s="13">
        <f t="shared" si="5"/>
        <v>139020</v>
      </c>
      <c r="F58" s="14"/>
      <c r="G58" s="14"/>
      <c r="H58" s="13">
        <f>SUM(F58:G58)</f>
        <v>0</v>
      </c>
      <c r="I58" s="76">
        <f t="shared" si="6"/>
        <v>0</v>
      </c>
    </row>
    <row r="59" spans="1:9" s="5" customFormat="1" ht="11.25">
      <c r="A59" s="47"/>
      <c r="B59" s="31" t="s">
        <v>84</v>
      </c>
      <c r="C59" s="79"/>
      <c r="D59" s="14">
        <v>403800</v>
      </c>
      <c r="E59" s="13">
        <f>SUM(D59:D59)</f>
        <v>403800</v>
      </c>
      <c r="F59" s="79"/>
      <c r="G59" s="14">
        <v>201900</v>
      </c>
      <c r="H59" s="13">
        <f>SUM(G59:G59)</f>
        <v>201900</v>
      </c>
      <c r="I59" s="76">
        <f t="shared" si="6"/>
        <v>0.5</v>
      </c>
    </row>
    <row r="60" spans="1:9" s="5" customFormat="1" ht="12" customHeight="1">
      <c r="A60" s="47"/>
      <c r="B60" s="31" t="s">
        <v>85</v>
      </c>
      <c r="C60" s="14"/>
      <c r="D60" s="14">
        <v>300000</v>
      </c>
      <c r="E60" s="13">
        <f aca="true" t="shared" si="7" ref="E60:E73">SUM(C60:D60)</f>
        <v>300000</v>
      </c>
      <c r="F60" s="14"/>
      <c r="G60" s="14">
        <v>172096.94</v>
      </c>
      <c r="H60" s="13">
        <f aca="true" t="shared" si="8" ref="H60:H73">SUM(F60:G60)</f>
        <v>172096.94</v>
      </c>
      <c r="I60" s="76">
        <f t="shared" si="6"/>
        <v>0.5736564666666667</v>
      </c>
    </row>
    <row r="61" spans="1:9" s="15" customFormat="1" ht="22.5">
      <c r="A61" s="46"/>
      <c r="B61" s="11" t="s">
        <v>89</v>
      </c>
      <c r="C61" s="12">
        <v>609805</v>
      </c>
      <c r="D61" s="12"/>
      <c r="E61" s="13">
        <f t="shared" si="7"/>
        <v>609805</v>
      </c>
      <c r="F61" s="12">
        <v>115878.78</v>
      </c>
      <c r="G61" s="12"/>
      <c r="H61" s="13">
        <f t="shared" si="8"/>
        <v>115878.78</v>
      </c>
      <c r="I61" s="76">
        <f t="shared" si="6"/>
        <v>0.19002595911807874</v>
      </c>
    </row>
    <row r="62" spans="1:9" s="5" customFormat="1" ht="33.75">
      <c r="A62" s="47"/>
      <c r="B62" s="31" t="s">
        <v>30</v>
      </c>
      <c r="C62" s="14"/>
      <c r="D62" s="14">
        <v>55000</v>
      </c>
      <c r="E62" s="13">
        <f t="shared" si="7"/>
        <v>55000</v>
      </c>
      <c r="F62" s="14"/>
      <c r="G62" s="14">
        <v>29497</v>
      </c>
      <c r="H62" s="13">
        <f t="shared" si="8"/>
        <v>29497</v>
      </c>
      <c r="I62" s="76">
        <f t="shared" si="6"/>
        <v>0.536309090909091</v>
      </c>
    </row>
    <row r="63" spans="1:9" s="5" customFormat="1" ht="11.25" customHeight="1">
      <c r="A63" s="47"/>
      <c r="B63" s="31" t="s">
        <v>86</v>
      </c>
      <c r="C63" s="78"/>
      <c r="D63" s="14">
        <v>71020</v>
      </c>
      <c r="E63" s="13">
        <f t="shared" si="7"/>
        <v>71020</v>
      </c>
      <c r="F63" s="78"/>
      <c r="G63" s="14">
        <v>44092.08</v>
      </c>
      <c r="H63" s="13">
        <f t="shared" si="8"/>
        <v>44092.08</v>
      </c>
      <c r="I63" s="76">
        <f t="shared" si="6"/>
        <v>0.620840326668544</v>
      </c>
    </row>
    <row r="64" spans="1:9" s="15" customFormat="1" ht="29.25" customHeight="1">
      <c r="A64" s="46"/>
      <c r="B64" s="11" t="s">
        <v>87</v>
      </c>
      <c r="C64" s="14">
        <f>6563929+1123698</f>
        <v>7687627</v>
      </c>
      <c r="D64" s="14"/>
      <c r="E64" s="13">
        <f t="shared" si="7"/>
        <v>7687627</v>
      </c>
      <c r="F64" s="14">
        <v>3647739.58</v>
      </c>
      <c r="G64" s="14"/>
      <c r="H64" s="13">
        <f t="shared" si="8"/>
        <v>3647739.58</v>
      </c>
      <c r="I64" s="76">
        <f t="shared" si="6"/>
        <v>0.47449487078392333</v>
      </c>
    </row>
    <row r="65" spans="1:9" s="15" customFormat="1" ht="20.25" customHeight="1">
      <c r="A65" s="46"/>
      <c r="B65" s="11" t="s">
        <v>136</v>
      </c>
      <c r="C65" s="14">
        <v>668675</v>
      </c>
      <c r="D65" s="14"/>
      <c r="E65" s="13">
        <f t="shared" si="7"/>
        <v>668675</v>
      </c>
      <c r="F65" s="14"/>
      <c r="G65" s="14"/>
      <c r="H65" s="13">
        <f t="shared" si="8"/>
        <v>0</v>
      </c>
      <c r="I65" s="76">
        <f aca="true" t="shared" si="9" ref="I65:I72">H65/E65</f>
        <v>0</v>
      </c>
    </row>
    <row r="66" spans="1:9" s="15" customFormat="1" ht="22.5">
      <c r="A66" s="46"/>
      <c r="B66" s="11" t="s">
        <v>15</v>
      </c>
      <c r="C66" s="14"/>
      <c r="D66" s="14">
        <f>155147+43920+186660</f>
        <v>385727</v>
      </c>
      <c r="E66" s="13">
        <f t="shared" si="7"/>
        <v>385727</v>
      </c>
      <c r="F66" s="14"/>
      <c r="G66" s="14">
        <f>34257+98725.33</f>
        <v>132982.33000000002</v>
      </c>
      <c r="H66" s="13">
        <f t="shared" si="8"/>
        <v>132982.33000000002</v>
      </c>
      <c r="I66" s="76">
        <f t="shared" si="9"/>
        <v>0.34475763947040267</v>
      </c>
    </row>
    <row r="67" spans="1:9" s="10" customFormat="1" ht="28.5" customHeight="1">
      <c r="A67" s="22">
        <v>6</v>
      </c>
      <c r="B67" s="24" t="s">
        <v>88</v>
      </c>
      <c r="C67" s="8">
        <f>SUM(C68:C80)</f>
        <v>4399252</v>
      </c>
      <c r="D67" s="8">
        <f>SUM(D68:D80)</f>
        <v>318512</v>
      </c>
      <c r="E67" s="25">
        <f t="shared" si="7"/>
        <v>4717764</v>
      </c>
      <c r="F67" s="8">
        <f>SUM(F68:F80)</f>
        <v>1160126.32</v>
      </c>
      <c r="G67" s="8">
        <f>SUM(G68:G80)</f>
        <v>170378</v>
      </c>
      <c r="H67" s="25">
        <f t="shared" si="8"/>
        <v>1330504.32</v>
      </c>
      <c r="I67" s="76">
        <f t="shared" si="9"/>
        <v>0.2820201095264621</v>
      </c>
    </row>
    <row r="68" spans="1:9" s="5" customFormat="1" ht="26.25" customHeight="1">
      <c r="A68" s="47"/>
      <c r="B68" s="31" t="s">
        <v>116</v>
      </c>
      <c r="C68" s="14"/>
      <c r="D68" s="14">
        <f>242000+400</f>
        <v>242400</v>
      </c>
      <c r="E68" s="13">
        <f t="shared" si="7"/>
        <v>242400</v>
      </c>
      <c r="F68" s="14"/>
      <c r="G68" s="14">
        <v>130000</v>
      </c>
      <c r="H68" s="13">
        <f t="shared" si="8"/>
        <v>130000</v>
      </c>
      <c r="I68" s="76">
        <f t="shared" si="9"/>
        <v>0.5363036303630363</v>
      </c>
    </row>
    <row r="69" spans="1:9" s="5" customFormat="1" ht="15.75" customHeight="1">
      <c r="A69" s="47"/>
      <c r="B69" s="11" t="s">
        <v>139</v>
      </c>
      <c r="C69" s="14">
        <f>11174+366446</f>
        <v>377620</v>
      </c>
      <c r="D69" s="14"/>
      <c r="E69" s="13">
        <f t="shared" si="7"/>
        <v>377620</v>
      </c>
      <c r="F69" s="14">
        <v>123518.34</v>
      </c>
      <c r="G69" s="14"/>
      <c r="H69" s="13">
        <f t="shared" si="8"/>
        <v>123518.34</v>
      </c>
      <c r="I69" s="76">
        <f t="shared" si="9"/>
        <v>0.3270969228324771</v>
      </c>
    </row>
    <row r="70" spans="1:9" s="5" customFormat="1" ht="18" customHeight="1">
      <c r="A70" s="47"/>
      <c r="B70" s="11" t="s">
        <v>20</v>
      </c>
      <c r="C70" s="14">
        <v>302383</v>
      </c>
      <c r="D70" s="14"/>
      <c r="E70" s="13">
        <f t="shared" si="7"/>
        <v>302383</v>
      </c>
      <c r="F70" s="14">
        <v>120900</v>
      </c>
      <c r="G70" s="14"/>
      <c r="H70" s="13">
        <f t="shared" si="8"/>
        <v>120900</v>
      </c>
      <c r="I70" s="76">
        <f t="shared" si="9"/>
        <v>0.39982406418350236</v>
      </c>
    </row>
    <row r="71" spans="1:9" s="5" customFormat="1" ht="18" customHeight="1">
      <c r="A71" s="47"/>
      <c r="B71" s="11" t="s">
        <v>26</v>
      </c>
      <c r="C71" s="14"/>
      <c r="D71" s="14"/>
      <c r="E71" s="13">
        <f t="shared" si="7"/>
        <v>0</v>
      </c>
      <c r="F71" s="14">
        <v>140076.32</v>
      </c>
      <c r="G71" s="14"/>
      <c r="H71" s="13">
        <f t="shared" si="8"/>
        <v>140076.32</v>
      </c>
      <c r="I71" s="76"/>
    </row>
    <row r="72" spans="1:9" s="5" customFormat="1" ht="24" customHeight="1">
      <c r="A72" s="47"/>
      <c r="B72" s="11" t="s">
        <v>27</v>
      </c>
      <c r="C72" s="14">
        <v>23629</v>
      </c>
      <c r="D72" s="14"/>
      <c r="E72" s="13">
        <f t="shared" si="7"/>
        <v>23629</v>
      </c>
      <c r="F72" s="14">
        <v>23629</v>
      </c>
      <c r="G72" s="14"/>
      <c r="H72" s="13">
        <f t="shared" si="8"/>
        <v>23629</v>
      </c>
      <c r="I72" s="76">
        <f t="shared" si="9"/>
        <v>1</v>
      </c>
    </row>
    <row r="73" spans="1:9" s="5" customFormat="1" ht="31.5" customHeight="1">
      <c r="A73" s="47"/>
      <c r="B73" s="11" t="s">
        <v>21</v>
      </c>
      <c r="C73" s="14">
        <v>40000</v>
      </c>
      <c r="D73" s="14"/>
      <c r="E73" s="13">
        <f t="shared" si="7"/>
        <v>40000</v>
      </c>
      <c r="F73" s="14">
        <v>12100</v>
      </c>
      <c r="G73" s="14"/>
      <c r="H73" s="13">
        <f t="shared" si="8"/>
        <v>12100</v>
      </c>
      <c r="I73" s="76">
        <f aca="true" t="shared" si="10" ref="I73:I83">H73/E73</f>
        <v>0.3025</v>
      </c>
    </row>
    <row r="74" spans="1:9" s="5" customFormat="1" ht="26.25" customHeight="1">
      <c r="A74" s="47"/>
      <c r="B74" s="31" t="s">
        <v>34</v>
      </c>
      <c r="C74" s="14">
        <v>37827</v>
      </c>
      <c r="D74" s="14"/>
      <c r="E74" s="13">
        <f aca="true" t="shared" si="11" ref="E74:E81">SUM(C74:D74)</f>
        <v>37827</v>
      </c>
      <c r="F74" s="14">
        <v>36154.41</v>
      </c>
      <c r="G74" s="14"/>
      <c r="H74" s="13">
        <f aca="true" t="shared" si="12" ref="H74:H81">SUM(F74:G74)</f>
        <v>36154.41</v>
      </c>
      <c r="I74" s="76">
        <f t="shared" si="10"/>
        <v>0.9557831707510509</v>
      </c>
    </row>
    <row r="75" spans="1:9" s="5" customFormat="1" ht="45.75" customHeight="1">
      <c r="A75" s="47"/>
      <c r="B75" s="11" t="s">
        <v>135</v>
      </c>
      <c r="C75" s="14">
        <v>5716</v>
      </c>
      <c r="D75" s="14"/>
      <c r="E75" s="13">
        <f t="shared" si="11"/>
        <v>5716</v>
      </c>
      <c r="F75" s="14">
        <v>5715.18</v>
      </c>
      <c r="G75" s="14"/>
      <c r="H75" s="13">
        <f t="shared" si="12"/>
        <v>5715.18</v>
      </c>
      <c r="I75" s="76">
        <f t="shared" si="10"/>
        <v>0.9998565430370889</v>
      </c>
    </row>
    <row r="76" spans="1:9" s="5" customFormat="1" ht="24.75" customHeight="1">
      <c r="A76" s="47"/>
      <c r="B76" s="11" t="s">
        <v>14</v>
      </c>
      <c r="C76" s="14">
        <v>2644736</v>
      </c>
      <c r="D76" s="14"/>
      <c r="E76" s="13">
        <f t="shared" si="11"/>
        <v>2644736</v>
      </c>
      <c r="F76" s="14">
        <v>18597.07</v>
      </c>
      <c r="G76" s="14"/>
      <c r="H76" s="13">
        <f t="shared" si="12"/>
        <v>18597.07</v>
      </c>
      <c r="I76" s="76">
        <f t="shared" si="10"/>
        <v>0.007031730199157874</v>
      </c>
    </row>
    <row r="77" spans="1:9" s="5" customFormat="1" ht="11.25">
      <c r="A77" s="47"/>
      <c r="B77" s="11" t="s">
        <v>73</v>
      </c>
      <c r="C77" s="14"/>
      <c r="D77" s="14"/>
      <c r="E77" s="13">
        <f t="shared" si="11"/>
        <v>0</v>
      </c>
      <c r="F77" s="14">
        <v>589855</v>
      </c>
      <c r="G77" s="14"/>
      <c r="H77" s="13">
        <f t="shared" si="12"/>
        <v>589855</v>
      </c>
      <c r="I77" s="76"/>
    </row>
    <row r="78" spans="1:9" s="5" customFormat="1" ht="15.75" customHeight="1">
      <c r="A78" s="47"/>
      <c r="B78" s="11" t="s">
        <v>119</v>
      </c>
      <c r="C78" s="14">
        <v>6100</v>
      </c>
      <c r="D78" s="28"/>
      <c r="E78" s="13">
        <f t="shared" si="11"/>
        <v>6100</v>
      </c>
      <c r="F78" s="14">
        <v>6100</v>
      </c>
      <c r="G78" s="28"/>
      <c r="H78" s="13">
        <f t="shared" si="12"/>
        <v>6100</v>
      </c>
      <c r="I78" s="76">
        <f t="shared" si="10"/>
        <v>1</v>
      </c>
    </row>
    <row r="79" spans="1:9" s="5" customFormat="1" ht="22.5">
      <c r="A79" s="47"/>
      <c r="B79" s="31" t="s">
        <v>125</v>
      </c>
      <c r="C79" s="14">
        <f>80164+81077</f>
        <v>161241</v>
      </c>
      <c r="D79" s="14">
        <f>78012-1900</f>
        <v>76112</v>
      </c>
      <c r="E79" s="13">
        <f t="shared" si="11"/>
        <v>237353</v>
      </c>
      <c r="F79" s="14">
        <f>41493+41988</f>
        <v>83481</v>
      </c>
      <c r="G79" s="14">
        <f>40378</f>
        <v>40378</v>
      </c>
      <c r="H79" s="13">
        <f t="shared" si="12"/>
        <v>123859</v>
      </c>
      <c r="I79" s="76">
        <f t="shared" si="10"/>
        <v>0.5218345670794133</v>
      </c>
    </row>
    <row r="80" spans="1:9" s="15" customFormat="1" ht="11.25">
      <c r="A80" s="46"/>
      <c r="B80" s="11" t="s">
        <v>124</v>
      </c>
      <c r="C80" s="14">
        <v>800000</v>
      </c>
      <c r="D80" s="14"/>
      <c r="E80" s="13">
        <f t="shared" si="11"/>
        <v>800000</v>
      </c>
      <c r="F80" s="14"/>
      <c r="G80" s="14"/>
      <c r="H80" s="13">
        <f t="shared" si="12"/>
        <v>0</v>
      </c>
      <c r="I80" s="76">
        <f t="shared" si="10"/>
        <v>0</v>
      </c>
    </row>
    <row r="81" spans="1:9" s="10" customFormat="1" ht="12">
      <c r="A81" s="22">
        <v>7</v>
      </c>
      <c r="B81" s="24" t="s">
        <v>90</v>
      </c>
      <c r="C81" s="25">
        <f>SUM(C82:C98)</f>
        <v>32365379</v>
      </c>
      <c r="D81" s="25">
        <f>SUM(D82:D98)</f>
        <v>24169496</v>
      </c>
      <c r="E81" s="25">
        <f t="shared" si="11"/>
        <v>56534875</v>
      </c>
      <c r="F81" s="25">
        <f>SUM(F82:F98)</f>
        <v>3666040.2199999997</v>
      </c>
      <c r="G81" s="25">
        <f>SUM(G82:G98)</f>
        <v>12039839.4</v>
      </c>
      <c r="H81" s="25">
        <f t="shared" si="12"/>
        <v>15705879.620000001</v>
      </c>
      <c r="I81" s="76">
        <f t="shared" si="10"/>
        <v>0.2778086910070996</v>
      </c>
    </row>
    <row r="82" spans="1:9" s="2" customFormat="1" ht="22.5">
      <c r="A82" s="47"/>
      <c r="B82" s="26" t="s">
        <v>23</v>
      </c>
      <c r="C82" s="14"/>
      <c r="D82" s="14">
        <f>20000000+3801225</f>
        <v>23801225</v>
      </c>
      <c r="E82" s="13">
        <f aca="true" t="shared" si="13" ref="E82:E91">SUM(C82:D82)</f>
        <v>23801225</v>
      </c>
      <c r="F82" s="14"/>
      <c r="G82" s="14">
        <v>11958704.92</v>
      </c>
      <c r="H82" s="13">
        <f aca="true" t="shared" si="14" ref="H82:H91">SUM(F82:G82)</f>
        <v>11958704.92</v>
      </c>
      <c r="I82" s="76">
        <f t="shared" si="10"/>
        <v>0.5024407323572632</v>
      </c>
    </row>
    <row r="83" spans="1:9" s="2" customFormat="1" ht="11.25">
      <c r="A83" s="47"/>
      <c r="B83" s="11" t="s">
        <v>139</v>
      </c>
      <c r="C83" s="14">
        <f>474540+3778711</f>
        <v>4253251</v>
      </c>
      <c r="D83" s="14"/>
      <c r="E83" s="13">
        <f t="shared" si="13"/>
        <v>4253251</v>
      </c>
      <c r="F83" s="14">
        <v>2166064.45</v>
      </c>
      <c r="G83" s="14"/>
      <c r="H83" s="13">
        <f t="shared" si="14"/>
        <v>2166064.45</v>
      </c>
      <c r="I83" s="76">
        <f t="shared" si="10"/>
        <v>0.5092726599018023</v>
      </c>
    </row>
    <row r="84" spans="1:9" s="2" customFormat="1" ht="15" customHeight="1">
      <c r="A84" s="47"/>
      <c r="B84" s="11" t="s">
        <v>32</v>
      </c>
      <c r="C84" s="14"/>
      <c r="D84" s="14"/>
      <c r="E84" s="13">
        <f t="shared" si="13"/>
        <v>0</v>
      </c>
      <c r="F84" s="14">
        <v>17842</v>
      </c>
      <c r="G84" s="14"/>
      <c r="H84" s="13">
        <f t="shared" si="14"/>
        <v>17842</v>
      </c>
      <c r="I84" s="76"/>
    </row>
    <row r="85" spans="1:9" s="15" customFormat="1" ht="24" customHeight="1">
      <c r="A85" s="46"/>
      <c r="B85" s="11" t="s">
        <v>9</v>
      </c>
      <c r="C85" s="14">
        <f>8368+19347+15887+15812+15888</f>
        <v>75302</v>
      </c>
      <c r="D85" s="12">
        <v>16735</v>
      </c>
      <c r="E85" s="13">
        <f t="shared" si="13"/>
        <v>92037</v>
      </c>
      <c r="F85" s="14">
        <f>3497.99+421.35+1176.56</f>
        <v>5095.9</v>
      </c>
      <c r="G85" s="12">
        <f>617.06+718.98+12666.88</f>
        <v>14002.919999999998</v>
      </c>
      <c r="H85" s="13">
        <f t="shared" si="14"/>
        <v>19098.82</v>
      </c>
      <c r="I85" s="76">
        <f aca="true" t="shared" si="15" ref="I85:I97">H85/E85</f>
        <v>0.20751241348588068</v>
      </c>
    </row>
    <row r="86" spans="1:9" s="2" customFormat="1" ht="11.25">
      <c r="A86" s="47"/>
      <c r="B86" s="26" t="s">
        <v>18</v>
      </c>
      <c r="C86" s="14"/>
      <c r="D86" s="28">
        <v>223015</v>
      </c>
      <c r="E86" s="13">
        <f t="shared" si="13"/>
        <v>223015</v>
      </c>
      <c r="F86" s="14"/>
      <c r="G86" s="28"/>
      <c r="H86" s="13">
        <f t="shared" si="14"/>
        <v>0</v>
      </c>
      <c r="I86" s="76">
        <f t="shared" si="15"/>
        <v>0</v>
      </c>
    </row>
    <row r="87" spans="1:9" s="2" customFormat="1" ht="19.5" customHeight="1">
      <c r="A87" s="47"/>
      <c r="B87" s="11" t="s">
        <v>17</v>
      </c>
      <c r="C87" s="14">
        <v>33663</v>
      </c>
      <c r="D87" s="28"/>
      <c r="E87" s="13">
        <f t="shared" si="13"/>
        <v>33663</v>
      </c>
      <c r="F87" s="14"/>
      <c r="G87" s="28"/>
      <c r="H87" s="13">
        <f t="shared" si="14"/>
        <v>0</v>
      </c>
      <c r="I87" s="76">
        <f t="shared" si="15"/>
        <v>0</v>
      </c>
    </row>
    <row r="88" spans="1:9" s="2" customFormat="1" ht="11.25">
      <c r="A88" s="47"/>
      <c r="B88" s="11" t="s">
        <v>20</v>
      </c>
      <c r="C88" s="14">
        <v>1713504</v>
      </c>
      <c r="D88" s="28"/>
      <c r="E88" s="13">
        <f t="shared" si="13"/>
        <v>1713504</v>
      </c>
      <c r="F88" s="14">
        <v>685100</v>
      </c>
      <c r="G88" s="28"/>
      <c r="H88" s="13">
        <f t="shared" si="14"/>
        <v>685100</v>
      </c>
      <c r="I88" s="76">
        <f t="shared" si="15"/>
        <v>0.3998239864044671</v>
      </c>
    </row>
    <row r="89" spans="1:9" s="2" customFormat="1" ht="22.5">
      <c r="A89" s="47"/>
      <c r="B89" s="26" t="s">
        <v>14</v>
      </c>
      <c r="C89" s="14">
        <f>14986840+6658628</f>
        <v>21645468</v>
      </c>
      <c r="D89" s="28"/>
      <c r="E89" s="13">
        <f t="shared" si="13"/>
        <v>21645468</v>
      </c>
      <c r="F89" s="14">
        <v>319414.4</v>
      </c>
      <c r="G89" s="28"/>
      <c r="H89" s="13">
        <f t="shared" si="14"/>
        <v>319414.4</v>
      </c>
      <c r="I89" s="76">
        <f t="shared" si="15"/>
        <v>0.014756640974452482</v>
      </c>
    </row>
    <row r="90" spans="1:9" s="2" customFormat="1" ht="26.25" customHeight="1">
      <c r="A90" s="47"/>
      <c r="B90" s="31" t="s">
        <v>25</v>
      </c>
      <c r="C90" s="14">
        <v>2925550</v>
      </c>
      <c r="D90" s="28"/>
      <c r="E90" s="13">
        <f t="shared" si="13"/>
        <v>2925550</v>
      </c>
      <c r="F90" s="14"/>
      <c r="G90" s="28"/>
      <c r="H90" s="13">
        <f t="shared" si="14"/>
        <v>0</v>
      </c>
      <c r="I90" s="76">
        <f t="shared" si="15"/>
        <v>0</v>
      </c>
    </row>
    <row r="91" spans="1:9" s="2" customFormat="1" ht="11.25">
      <c r="A91" s="47"/>
      <c r="B91" s="31" t="s">
        <v>16</v>
      </c>
      <c r="C91" s="14"/>
      <c r="D91" s="28">
        <v>128521</v>
      </c>
      <c r="E91" s="13">
        <f t="shared" si="13"/>
        <v>128521</v>
      </c>
      <c r="F91" s="14"/>
      <c r="G91" s="28">
        <v>67131.56</v>
      </c>
      <c r="H91" s="13">
        <f t="shared" si="14"/>
        <v>67131.56</v>
      </c>
      <c r="I91" s="76">
        <f t="shared" si="15"/>
        <v>0.5223392286085542</v>
      </c>
    </row>
    <row r="92" spans="1:9" s="5" customFormat="1" ht="22.5">
      <c r="A92" s="47"/>
      <c r="B92" s="11" t="s">
        <v>22</v>
      </c>
      <c r="C92" s="14">
        <v>355383</v>
      </c>
      <c r="D92" s="14"/>
      <c r="E92" s="13">
        <f aca="true" t="shared" si="16" ref="E92:E114">SUM(C92:D92)</f>
        <v>355383</v>
      </c>
      <c r="F92" s="14"/>
      <c r="G92" s="14"/>
      <c r="H92" s="13">
        <f aca="true" t="shared" si="17" ref="H92:H114">SUM(F92:G92)</f>
        <v>0</v>
      </c>
      <c r="I92" s="76">
        <f t="shared" si="15"/>
        <v>0</v>
      </c>
    </row>
    <row r="93" spans="1:9" s="2" customFormat="1" ht="22.5">
      <c r="A93" s="47"/>
      <c r="B93" s="11" t="s">
        <v>2</v>
      </c>
      <c r="C93" s="14">
        <v>138947</v>
      </c>
      <c r="D93" s="28"/>
      <c r="E93" s="13">
        <f t="shared" si="16"/>
        <v>138947</v>
      </c>
      <c r="F93" s="14"/>
      <c r="G93" s="28"/>
      <c r="H93" s="13">
        <f t="shared" si="17"/>
        <v>0</v>
      </c>
      <c r="I93" s="76">
        <f t="shared" si="15"/>
        <v>0</v>
      </c>
    </row>
    <row r="94" spans="1:9" s="2" customFormat="1" ht="22.5">
      <c r="A94" s="47"/>
      <c r="B94" s="11" t="s">
        <v>3</v>
      </c>
      <c r="C94" s="14">
        <v>228913</v>
      </c>
      <c r="D94" s="28"/>
      <c r="E94" s="13">
        <f t="shared" si="16"/>
        <v>228913</v>
      </c>
      <c r="F94" s="14">
        <v>34599</v>
      </c>
      <c r="G94" s="28"/>
      <c r="H94" s="13">
        <f t="shared" si="17"/>
        <v>34599</v>
      </c>
      <c r="I94" s="76">
        <f t="shared" si="15"/>
        <v>0.15114475805218577</v>
      </c>
    </row>
    <row r="95" spans="1:9" s="2" customFormat="1" ht="11.25" customHeight="1">
      <c r="A95" s="47"/>
      <c r="B95" s="11" t="s">
        <v>4</v>
      </c>
      <c r="C95" s="14">
        <v>390034</v>
      </c>
      <c r="D95" s="28"/>
      <c r="E95" s="13">
        <f t="shared" si="16"/>
        <v>390034</v>
      </c>
      <c r="F95" s="14">
        <v>130612</v>
      </c>
      <c r="G95" s="28"/>
      <c r="H95" s="13">
        <f t="shared" si="17"/>
        <v>130612</v>
      </c>
      <c r="I95" s="76">
        <f t="shared" si="15"/>
        <v>0.3348733700138962</v>
      </c>
    </row>
    <row r="96" spans="1:9" s="2" customFormat="1" ht="11.25">
      <c r="A96" s="47"/>
      <c r="B96" s="11" t="s">
        <v>5</v>
      </c>
      <c r="C96" s="14">
        <v>343440</v>
      </c>
      <c r="D96" s="28"/>
      <c r="E96" s="13">
        <f t="shared" si="16"/>
        <v>343440</v>
      </c>
      <c r="F96" s="14"/>
      <c r="G96" s="28"/>
      <c r="H96" s="13">
        <f t="shared" si="17"/>
        <v>0</v>
      </c>
      <c r="I96" s="76">
        <f t="shared" si="15"/>
        <v>0</v>
      </c>
    </row>
    <row r="97" spans="1:9" s="2" customFormat="1" ht="11.25">
      <c r="A97" s="47"/>
      <c r="B97" s="11" t="s">
        <v>6</v>
      </c>
      <c r="C97" s="14">
        <v>47570</v>
      </c>
      <c r="D97" s="28"/>
      <c r="E97" s="13">
        <f t="shared" si="16"/>
        <v>47570</v>
      </c>
      <c r="F97" s="14"/>
      <c r="G97" s="28"/>
      <c r="H97" s="13">
        <f t="shared" si="17"/>
        <v>0</v>
      </c>
      <c r="I97" s="76">
        <f t="shared" si="15"/>
        <v>0</v>
      </c>
    </row>
    <row r="98" spans="1:9" s="2" customFormat="1" ht="22.5">
      <c r="A98" s="47"/>
      <c r="B98" s="31" t="s">
        <v>34</v>
      </c>
      <c r="C98" s="14">
        <v>214354</v>
      </c>
      <c r="D98" s="28"/>
      <c r="E98" s="13">
        <f t="shared" si="16"/>
        <v>214354</v>
      </c>
      <c r="F98" s="14">
        <v>307312.47</v>
      </c>
      <c r="G98" s="28"/>
      <c r="H98" s="13">
        <f t="shared" si="17"/>
        <v>307312.47</v>
      </c>
      <c r="I98" s="76">
        <f aca="true" t="shared" si="18" ref="I98:I119">H98/E98</f>
        <v>1.4336679977980349</v>
      </c>
    </row>
    <row r="99" spans="1:10" s="10" customFormat="1" ht="12">
      <c r="A99" s="22">
        <v>8</v>
      </c>
      <c r="B99" s="24" t="s">
        <v>91</v>
      </c>
      <c r="C99" s="25">
        <f>SUM(C100:C101)</f>
        <v>242361147</v>
      </c>
      <c r="D99" s="25">
        <f>SUM(D100:D101)</f>
        <v>65955597</v>
      </c>
      <c r="E99" s="25">
        <f t="shared" si="16"/>
        <v>308316744</v>
      </c>
      <c r="F99" s="25">
        <f>SUM(F100:F101)</f>
        <v>96700074.63</v>
      </c>
      <c r="G99" s="25">
        <f>SUM(G100:G101)</f>
        <v>26355892.93</v>
      </c>
      <c r="H99" s="25">
        <f t="shared" si="17"/>
        <v>123055967.56</v>
      </c>
      <c r="I99" s="76">
        <f t="shared" si="18"/>
        <v>0.399121909382904</v>
      </c>
      <c r="J99" s="75"/>
    </row>
    <row r="100" spans="1:10" s="2" customFormat="1" ht="11.25">
      <c r="A100" s="47"/>
      <c r="B100" s="26" t="s">
        <v>92</v>
      </c>
      <c r="C100" s="14">
        <v>222561147</v>
      </c>
      <c r="D100" s="14">
        <v>61755597</v>
      </c>
      <c r="E100" s="13">
        <f t="shared" si="16"/>
        <v>284316744</v>
      </c>
      <c r="F100" s="14">
        <v>89799937</v>
      </c>
      <c r="G100" s="14">
        <v>24915663</v>
      </c>
      <c r="H100" s="13">
        <f t="shared" si="17"/>
        <v>114715600</v>
      </c>
      <c r="I100" s="76">
        <f t="shared" si="18"/>
        <v>0.40347817151423204</v>
      </c>
      <c r="J100" s="32"/>
    </row>
    <row r="101" spans="1:10" s="2" customFormat="1" ht="17.25" customHeight="1">
      <c r="A101" s="47"/>
      <c r="B101" s="26" t="s">
        <v>38</v>
      </c>
      <c r="C101" s="14">
        <v>19800000</v>
      </c>
      <c r="D101" s="14">
        <v>4200000</v>
      </c>
      <c r="E101" s="13">
        <f t="shared" si="16"/>
        <v>24000000</v>
      </c>
      <c r="F101" s="14">
        <v>6900137.63</v>
      </c>
      <c r="G101" s="14">
        <v>1440229.93</v>
      </c>
      <c r="H101" s="13">
        <f t="shared" si="17"/>
        <v>8340367.56</v>
      </c>
      <c r="I101" s="76">
        <f t="shared" si="18"/>
        <v>0.347515315</v>
      </c>
      <c r="J101" s="77"/>
    </row>
    <row r="102" spans="1:10" s="7" customFormat="1" ht="12" customHeight="1">
      <c r="A102" s="105" t="s">
        <v>93</v>
      </c>
      <c r="B102" s="105"/>
      <c r="C102" s="34">
        <f>SUM(C103:C104)</f>
        <v>96580143</v>
      </c>
      <c r="D102" s="34">
        <f>SUM(D103:D104)</f>
        <v>96228371</v>
      </c>
      <c r="E102" s="34">
        <f t="shared" si="16"/>
        <v>192808514</v>
      </c>
      <c r="F102" s="34">
        <f>SUM(F103:F104)</f>
        <v>59433936</v>
      </c>
      <c r="G102" s="34">
        <f>SUM(G103:G104)</f>
        <v>58389226</v>
      </c>
      <c r="H102" s="34">
        <f t="shared" si="17"/>
        <v>117823162</v>
      </c>
      <c r="I102" s="76">
        <f t="shared" si="18"/>
        <v>0.6110889999390795</v>
      </c>
      <c r="J102" s="74"/>
    </row>
    <row r="103" spans="1:10" s="1" customFormat="1" ht="14.25" customHeight="1">
      <c r="A103" s="47">
        <v>1</v>
      </c>
      <c r="B103" s="26" t="s">
        <v>94</v>
      </c>
      <c r="C103" s="14">
        <f>99421646-2841503</f>
        <v>96580143</v>
      </c>
      <c r="D103" s="14">
        <f>84402849+4647521</f>
        <v>89050370</v>
      </c>
      <c r="E103" s="13">
        <f t="shared" si="16"/>
        <v>185630513</v>
      </c>
      <c r="F103" s="14">
        <v>59433936</v>
      </c>
      <c r="G103" s="14">
        <v>54800224</v>
      </c>
      <c r="H103" s="13">
        <f t="shared" si="17"/>
        <v>114234160</v>
      </c>
      <c r="I103" s="76">
        <f t="shared" si="18"/>
        <v>0.6153846054393008</v>
      </c>
      <c r="J103" s="3"/>
    </row>
    <row r="104" spans="1:10" s="1" customFormat="1" ht="11.25" customHeight="1">
      <c r="A104" s="47">
        <v>2</v>
      </c>
      <c r="B104" s="30" t="s">
        <v>95</v>
      </c>
      <c r="C104" s="14"/>
      <c r="D104" s="14">
        <v>7178001</v>
      </c>
      <c r="E104" s="13">
        <f t="shared" si="16"/>
        <v>7178001</v>
      </c>
      <c r="F104" s="14"/>
      <c r="G104" s="14">
        <v>3589002</v>
      </c>
      <c r="H104" s="13">
        <f t="shared" si="17"/>
        <v>3589002</v>
      </c>
      <c r="I104" s="76">
        <f t="shared" si="18"/>
        <v>0.5000002089718294</v>
      </c>
      <c r="J104" s="3"/>
    </row>
    <row r="105" spans="1:10" s="35" customFormat="1" ht="15">
      <c r="A105" s="107" t="s">
        <v>96</v>
      </c>
      <c r="B105" s="107"/>
      <c r="C105" s="33">
        <f>C106+C128+C131</f>
        <v>52260695</v>
      </c>
      <c r="D105" s="33">
        <f>D106+D128+D131</f>
        <v>18247165</v>
      </c>
      <c r="E105" s="34">
        <f t="shared" si="16"/>
        <v>70507860</v>
      </c>
      <c r="F105" s="33">
        <f>F106+F128+F131</f>
        <v>26187873</v>
      </c>
      <c r="G105" s="33">
        <f>G106+G128+G131</f>
        <v>11792669</v>
      </c>
      <c r="H105" s="34">
        <f t="shared" si="17"/>
        <v>37980542</v>
      </c>
      <c r="I105" s="76">
        <f t="shared" si="18"/>
        <v>0.5386710361085983</v>
      </c>
      <c r="J105" s="100"/>
    </row>
    <row r="106" spans="1:10" s="37" customFormat="1" ht="15" customHeight="1">
      <c r="A106" s="49">
        <v>1</v>
      </c>
      <c r="B106" s="36" t="s">
        <v>97</v>
      </c>
      <c r="C106" s="8">
        <f>SUM(C107:C110,C118:C127)</f>
        <v>43620561</v>
      </c>
      <c r="D106" s="8">
        <f>SUM(D107:D110,D118:D127)</f>
        <v>17317346</v>
      </c>
      <c r="E106" s="25">
        <f t="shared" si="16"/>
        <v>60937907</v>
      </c>
      <c r="F106" s="8">
        <f>SUM(F107:F110,F118:F127)</f>
        <v>21484425</v>
      </c>
      <c r="G106" s="8">
        <f>SUM(G107:G110,G118:G127)</f>
        <v>11259151</v>
      </c>
      <c r="H106" s="25">
        <f t="shared" si="17"/>
        <v>32743576</v>
      </c>
      <c r="I106" s="76">
        <f t="shared" si="18"/>
        <v>0.5373268891562029</v>
      </c>
      <c r="J106" s="99"/>
    </row>
    <row r="107" spans="1:9" s="1" customFormat="1" ht="22.5" customHeight="1">
      <c r="A107" s="47"/>
      <c r="B107" s="38" t="s">
        <v>137</v>
      </c>
      <c r="C107" s="14"/>
      <c r="D107" s="14">
        <f>779000-4000</f>
        <v>775000</v>
      </c>
      <c r="E107" s="13">
        <f t="shared" si="16"/>
        <v>775000</v>
      </c>
      <c r="F107" s="14"/>
      <c r="G107" s="14">
        <v>407000</v>
      </c>
      <c r="H107" s="13">
        <f t="shared" si="17"/>
        <v>407000</v>
      </c>
      <c r="I107" s="76">
        <f t="shared" si="18"/>
        <v>0.5251612903225806</v>
      </c>
    </row>
    <row r="108" spans="1:9" s="2" customFormat="1" ht="20.25" customHeight="1">
      <c r="A108" s="47"/>
      <c r="B108" s="26" t="s">
        <v>133</v>
      </c>
      <c r="C108" s="14"/>
      <c r="D108" s="14">
        <f>11181000+129000</f>
        <v>11310000</v>
      </c>
      <c r="E108" s="13">
        <f t="shared" si="16"/>
        <v>11310000</v>
      </c>
      <c r="F108" s="14"/>
      <c r="G108" s="14">
        <v>6715039</v>
      </c>
      <c r="H108" s="13">
        <f t="shared" si="17"/>
        <v>6715039</v>
      </c>
      <c r="I108" s="76">
        <f t="shared" si="18"/>
        <v>0.5937258178603007</v>
      </c>
    </row>
    <row r="109" spans="1:9" s="2" customFormat="1" ht="21.75" customHeight="1">
      <c r="A109" s="47"/>
      <c r="B109" s="26" t="s">
        <v>134</v>
      </c>
      <c r="C109" s="14"/>
      <c r="D109" s="14">
        <v>500000</v>
      </c>
      <c r="E109" s="13">
        <f t="shared" si="16"/>
        <v>500000</v>
      </c>
      <c r="F109" s="14"/>
      <c r="G109" s="14">
        <v>394026</v>
      </c>
      <c r="H109" s="13">
        <f t="shared" si="17"/>
        <v>394026</v>
      </c>
      <c r="I109" s="76">
        <f t="shared" si="18"/>
        <v>0.788052</v>
      </c>
    </row>
    <row r="110" spans="1:9" s="2" customFormat="1" ht="12" customHeight="1">
      <c r="A110" s="47"/>
      <c r="B110" s="26" t="s">
        <v>98</v>
      </c>
      <c r="C110" s="14">
        <f>SUM(C111:C117)</f>
        <v>41678840</v>
      </c>
      <c r="D110" s="14">
        <f>SUM(D111:D117)</f>
        <v>688500</v>
      </c>
      <c r="E110" s="13">
        <f t="shared" si="16"/>
        <v>42367340</v>
      </c>
      <c r="F110" s="14">
        <f>SUM(F111:F117)</f>
        <v>20254796</v>
      </c>
      <c r="G110" s="14">
        <f>SUM(G111:G117)</f>
        <v>350400</v>
      </c>
      <c r="H110" s="13">
        <f t="shared" si="17"/>
        <v>20605196</v>
      </c>
      <c r="I110" s="76">
        <f t="shared" si="18"/>
        <v>0.4863462280143148</v>
      </c>
    </row>
    <row r="111" spans="1:9" s="5" customFormat="1" ht="12" customHeight="1">
      <c r="A111" s="44"/>
      <c r="B111" s="40" t="s">
        <v>99</v>
      </c>
      <c r="C111" s="19">
        <f>1594080+29160</f>
        <v>1623240</v>
      </c>
      <c r="D111" s="19"/>
      <c r="E111" s="18">
        <f t="shared" si="16"/>
        <v>1623240</v>
      </c>
      <c r="F111" s="19">
        <v>800350</v>
      </c>
      <c r="G111" s="19"/>
      <c r="H111" s="18">
        <f t="shared" si="17"/>
        <v>800350</v>
      </c>
      <c r="I111" s="76">
        <f t="shared" si="18"/>
        <v>0.49305709568517286</v>
      </c>
    </row>
    <row r="112" spans="1:9" s="5" customFormat="1" ht="10.5" customHeight="1">
      <c r="A112" s="44"/>
      <c r="B112" s="40" t="s">
        <v>114</v>
      </c>
      <c r="C112" s="19">
        <f>95000-15000</f>
        <v>80000</v>
      </c>
      <c r="D112" s="19"/>
      <c r="E112" s="18">
        <f t="shared" si="16"/>
        <v>80000</v>
      </c>
      <c r="F112" s="19"/>
      <c r="G112" s="19"/>
      <c r="H112" s="18">
        <f t="shared" si="17"/>
        <v>0</v>
      </c>
      <c r="I112" s="76">
        <f t="shared" si="18"/>
        <v>0</v>
      </c>
    </row>
    <row r="113" spans="1:9" s="5" customFormat="1" ht="21" customHeight="1">
      <c r="A113" s="44"/>
      <c r="B113" s="40" t="s">
        <v>138</v>
      </c>
      <c r="C113" s="19"/>
      <c r="D113" s="19">
        <v>397500</v>
      </c>
      <c r="E113" s="18">
        <f t="shared" si="16"/>
        <v>397500</v>
      </c>
      <c r="F113" s="19"/>
      <c r="G113" s="19">
        <v>198600</v>
      </c>
      <c r="H113" s="18">
        <f t="shared" si="17"/>
        <v>198600</v>
      </c>
      <c r="I113" s="76">
        <f t="shared" si="18"/>
        <v>0.499622641509434</v>
      </c>
    </row>
    <row r="114" spans="1:9" s="5" customFormat="1" ht="11.25">
      <c r="A114" s="44"/>
      <c r="B114" s="40" t="s">
        <v>100</v>
      </c>
      <c r="C114" s="19">
        <v>52500</v>
      </c>
      <c r="D114" s="19"/>
      <c r="E114" s="18">
        <f t="shared" si="16"/>
        <v>52500</v>
      </c>
      <c r="F114" s="19">
        <v>32000</v>
      </c>
      <c r="G114" s="19"/>
      <c r="H114" s="18">
        <f t="shared" si="17"/>
        <v>32000</v>
      </c>
      <c r="I114" s="76">
        <f t="shared" si="18"/>
        <v>0.6095238095238096</v>
      </c>
    </row>
    <row r="115" spans="1:9" s="5" customFormat="1" ht="11.25">
      <c r="A115" s="44"/>
      <c r="B115" s="40" t="s">
        <v>101</v>
      </c>
      <c r="C115" s="19">
        <v>39453100</v>
      </c>
      <c r="D115" s="19"/>
      <c r="E115" s="18">
        <f aca="true" t="shared" si="19" ref="E115:E133">SUM(C115:D115)</f>
        <v>39453100</v>
      </c>
      <c r="F115" s="19">
        <v>19215746</v>
      </c>
      <c r="G115" s="19"/>
      <c r="H115" s="18">
        <f aca="true" t="shared" si="20" ref="H115:H133">SUM(F115:G115)</f>
        <v>19215746</v>
      </c>
      <c r="I115" s="76">
        <f t="shared" si="18"/>
        <v>0.48705288050875595</v>
      </c>
    </row>
    <row r="116" spans="1:9" s="5" customFormat="1" ht="11.25">
      <c r="A116" s="44"/>
      <c r="B116" s="40" t="s">
        <v>8</v>
      </c>
      <c r="C116" s="19">
        <v>470000</v>
      </c>
      <c r="D116" s="19"/>
      <c r="E116" s="18">
        <f t="shared" si="19"/>
        <v>470000</v>
      </c>
      <c r="F116" s="19">
        <v>206700</v>
      </c>
      <c r="G116" s="19"/>
      <c r="H116" s="18">
        <f t="shared" si="20"/>
        <v>206700</v>
      </c>
      <c r="I116" s="76">
        <f t="shared" si="18"/>
        <v>0.4397872340425532</v>
      </c>
    </row>
    <row r="117" spans="1:9" s="5" customFormat="1" ht="18.75" customHeight="1">
      <c r="A117" s="44"/>
      <c r="B117" s="40" t="s">
        <v>102</v>
      </c>
      <c r="C117" s="19"/>
      <c r="D117" s="19">
        <v>291000</v>
      </c>
      <c r="E117" s="18">
        <f t="shared" si="19"/>
        <v>291000</v>
      </c>
      <c r="F117" s="19"/>
      <c r="G117" s="19">
        <v>151800</v>
      </c>
      <c r="H117" s="18">
        <f t="shared" si="20"/>
        <v>151800</v>
      </c>
      <c r="I117" s="76">
        <f t="shared" si="18"/>
        <v>0.5216494845360825</v>
      </c>
    </row>
    <row r="118" spans="1:9" s="2" customFormat="1" ht="9.75" customHeight="1">
      <c r="A118" s="47"/>
      <c r="B118" s="26" t="s">
        <v>103</v>
      </c>
      <c r="C118" s="14"/>
      <c r="D118" s="14">
        <f>1988750+2710+19000</f>
        <v>2010460</v>
      </c>
      <c r="E118" s="13">
        <f t="shared" si="19"/>
        <v>2010460</v>
      </c>
      <c r="F118" s="14"/>
      <c r="G118" s="14">
        <v>1978704</v>
      </c>
      <c r="H118" s="13">
        <f t="shared" si="20"/>
        <v>1978704</v>
      </c>
      <c r="I118" s="76">
        <f t="shared" si="18"/>
        <v>0.9842046098902739</v>
      </c>
    </row>
    <row r="119" spans="1:9" s="2" customFormat="1" ht="15" customHeight="1">
      <c r="A119" s="47"/>
      <c r="B119" s="26" t="s">
        <v>118</v>
      </c>
      <c r="C119" s="14">
        <v>23000</v>
      </c>
      <c r="D119" s="14"/>
      <c r="E119" s="13">
        <f t="shared" si="19"/>
        <v>23000</v>
      </c>
      <c r="F119" s="14">
        <v>11500</v>
      </c>
      <c r="G119" s="14"/>
      <c r="H119" s="13">
        <f t="shared" si="20"/>
        <v>11500</v>
      </c>
      <c r="I119" s="76">
        <f t="shared" si="18"/>
        <v>0.5</v>
      </c>
    </row>
    <row r="120" spans="1:9" s="2" customFormat="1" ht="24" customHeight="1">
      <c r="A120" s="47"/>
      <c r="B120" s="26" t="s">
        <v>121</v>
      </c>
      <c r="C120" s="14">
        <v>2756</v>
      </c>
      <c r="D120" s="14"/>
      <c r="E120" s="13">
        <f t="shared" si="19"/>
        <v>2756</v>
      </c>
      <c r="F120" s="14">
        <v>2756</v>
      </c>
      <c r="G120" s="14"/>
      <c r="H120" s="13">
        <f t="shared" si="20"/>
        <v>2756</v>
      </c>
      <c r="I120" s="76">
        <f aca="true" t="shared" si="21" ref="I120:I134">H120/E120</f>
        <v>1</v>
      </c>
    </row>
    <row r="121" spans="1:9" s="2" customFormat="1" ht="16.5" customHeight="1">
      <c r="A121" s="47"/>
      <c r="B121" s="26" t="s">
        <v>120</v>
      </c>
      <c r="C121" s="14">
        <v>1361000</v>
      </c>
      <c r="D121" s="14">
        <f>598000+100000</f>
        <v>698000</v>
      </c>
      <c r="E121" s="13">
        <f t="shared" si="19"/>
        <v>2059000</v>
      </c>
      <c r="F121" s="14">
        <v>680496</v>
      </c>
      <c r="G121" s="14">
        <v>298998</v>
      </c>
      <c r="H121" s="13">
        <f t="shared" si="20"/>
        <v>979494</v>
      </c>
      <c r="I121" s="76">
        <f t="shared" si="21"/>
        <v>0.4757134531325886</v>
      </c>
    </row>
    <row r="122" spans="1:9" s="2" customFormat="1" ht="15.75" customHeight="1">
      <c r="A122" s="47"/>
      <c r="B122" s="26" t="s">
        <v>104</v>
      </c>
      <c r="C122" s="14">
        <f>123895+390900</f>
        <v>514795</v>
      </c>
      <c r="D122" s="14"/>
      <c r="E122" s="13">
        <f t="shared" si="19"/>
        <v>514795</v>
      </c>
      <c r="F122" s="14">
        <v>514795</v>
      </c>
      <c r="G122" s="14"/>
      <c r="H122" s="13">
        <f t="shared" si="20"/>
        <v>514795</v>
      </c>
      <c r="I122" s="76">
        <f t="shared" si="21"/>
        <v>1</v>
      </c>
    </row>
    <row r="123" spans="1:9" s="32" customFormat="1" ht="9.75" customHeight="1">
      <c r="A123" s="47"/>
      <c r="B123" s="26" t="s">
        <v>11</v>
      </c>
      <c r="C123" s="14">
        <v>40170</v>
      </c>
      <c r="D123" s="14"/>
      <c r="E123" s="13">
        <f t="shared" si="19"/>
        <v>40170</v>
      </c>
      <c r="F123" s="14">
        <v>20082</v>
      </c>
      <c r="G123" s="14"/>
      <c r="H123" s="13">
        <f t="shared" si="20"/>
        <v>20082</v>
      </c>
      <c r="I123" s="76">
        <f t="shared" si="21"/>
        <v>0.49992531740104557</v>
      </c>
    </row>
    <row r="124" spans="1:9" s="2" customFormat="1" ht="11.25" customHeight="1">
      <c r="A124" s="50"/>
      <c r="B124" s="39" t="s">
        <v>105</v>
      </c>
      <c r="C124" s="14"/>
      <c r="D124" s="14">
        <v>100000</v>
      </c>
      <c r="E124" s="13">
        <f t="shared" si="19"/>
        <v>100000</v>
      </c>
      <c r="F124" s="14"/>
      <c r="G124" s="14"/>
      <c r="H124" s="13">
        <f t="shared" si="20"/>
        <v>0</v>
      </c>
      <c r="I124" s="76">
        <f t="shared" si="21"/>
        <v>0</v>
      </c>
    </row>
    <row r="125" spans="1:9" s="2" customFormat="1" ht="11.25" customHeight="1">
      <c r="A125" s="50"/>
      <c r="B125" s="39" t="s">
        <v>106</v>
      </c>
      <c r="C125" s="14"/>
      <c r="D125" s="14">
        <v>54000</v>
      </c>
      <c r="E125" s="13">
        <f t="shared" si="19"/>
        <v>54000</v>
      </c>
      <c r="F125" s="14"/>
      <c r="G125" s="14"/>
      <c r="H125" s="13">
        <f t="shared" si="20"/>
        <v>0</v>
      </c>
      <c r="I125" s="76">
        <f t="shared" si="21"/>
        <v>0</v>
      </c>
    </row>
    <row r="126" spans="1:9" s="2" customFormat="1" ht="11.25" customHeight="1">
      <c r="A126" s="50"/>
      <c r="B126" s="39" t="s">
        <v>107</v>
      </c>
      <c r="C126" s="14"/>
      <c r="D126" s="14">
        <f>132000+65850+134304+795440</f>
        <v>1127594</v>
      </c>
      <c r="E126" s="13">
        <f t="shared" si="19"/>
        <v>1127594</v>
      </c>
      <c r="F126" s="14"/>
      <c r="G126" s="14">
        <v>1061194</v>
      </c>
      <c r="H126" s="13">
        <f t="shared" si="20"/>
        <v>1061194</v>
      </c>
      <c r="I126" s="76">
        <f t="shared" si="21"/>
        <v>0.9411135568298519</v>
      </c>
    </row>
    <row r="127" spans="1:9" s="29" customFormat="1" ht="9.75" customHeight="1">
      <c r="A127" s="48"/>
      <c r="B127" s="31" t="s">
        <v>1</v>
      </c>
      <c r="C127" s="14"/>
      <c r="D127" s="14">
        <f>80000-26208</f>
        <v>53792</v>
      </c>
      <c r="E127" s="13">
        <f t="shared" si="19"/>
        <v>53792</v>
      </c>
      <c r="F127" s="14"/>
      <c r="G127" s="14">
        <v>53790</v>
      </c>
      <c r="H127" s="13">
        <f t="shared" si="20"/>
        <v>53790</v>
      </c>
      <c r="I127" s="76">
        <f t="shared" si="21"/>
        <v>0.9999628197501487</v>
      </c>
    </row>
    <row r="128" spans="1:9" s="29" customFormat="1" ht="30" customHeight="1">
      <c r="A128" s="22">
        <v>2</v>
      </c>
      <c r="B128" s="24" t="s">
        <v>108</v>
      </c>
      <c r="C128" s="41">
        <f>SUM(C129:C130)</f>
        <v>36000</v>
      </c>
      <c r="D128" s="41">
        <f>SUM(D129:D130)</f>
        <v>26208</v>
      </c>
      <c r="E128" s="25">
        <f t="shared" si="19"/>
        <v>62208</v>
      </c>
      <c r="F128" s="41">
        <f>SUM(F129:F130)</f>
        <v>36000</v>
      </c>
      <c r="G128" s="41">
        <f>SUM(G129:G130)</f>
        <v>25778</v>
      </c>
      <c r="H128" s="25">
        <f t="shared" si="20"/>
        <v>61778</v>
      </c>
      <c r="I128" s="76">
        <f t="shared" si="21"/>
        <v>0.9930877057613169</v>
      </c>
    </row>
    <row r="129" spans="1:9" s="2" customFormat="1" ht="11.25">
      <c r="A129" s="47"/>
      <c r="B129" s="31" t="s">
        <v>109</v>
      </c>
      <c r="C129" s="14">
        <v>36000</v>
      </c>
      <c r="D129" s="14"/>
      <c r="E129" s="13">
        <f t="shared" si="19"/>
        <v>36000</v>
      </c>
      <c r="F129" s="14">
        <v>36000</v>
      </c>
      <c r="G129" s="14"/>
      <c r="H129" s="13">
        <f t="shared" si="20"/>
        <v>36000</v>
      </c>
      <c r="I129" s="76">
        <f t="shared" si="21"/>
        <v>1</v>
      </c>
    </row>
    <row r="130" spans="1:9" s="2" customFormat="1" ht="11.25">
      <c r="A130" s="47"/>
      <c r="B130" s="31" t="s">
        <v>1</v>
      </c>
      <c r="C130" s="14"/>
      <c r="D130" s="14">
        <v>26208</v>
      </c>
      <c r="E130" s="13">
        <f t="shared" si="19"/>
        <v>26208</v>
      </c>
      <c r="F130" s="14"/>
      <c r="G130" s="14">
        <v>25778</v>
      </c>
      <c r="H130" s="13">
        <f t="shared" si="20"/>
        <v>25778</v>
      </c>
      <c r="I130" s="76">
        <f t="shared" si="21"/>
        <v>0.983592796092796</v>
      </c>
    </row>
    <row r="131" spans="1:9" s="1" customFormat="1" ht="22.5" customHeight="1">
      <c r="A131" s="22">
        <v>3</v>
      </c>
      <c r="B131" s="24" t="s">
        <v>110</v>
      </c>
      <c r="C131" s="25">
        <f>SUM(C132:C135)</f>
        <v>8604134</v>
      </c>
      <c r="D131" s="25">
        <f>SUM(D132:D135)</f>
        <v>903611</v>
      </c>
      <c r="E131" s="25">
        <f t="shared" si="19"/>
        <v>9507745</v>
      </c>
      <c r="F131" s="25">
        <f>SUM(F132:F135)</f>
        <v>4667448</v>
      </c>
      <c r="G131" s="25">
        <f>SUM(G132:G135)</f>
        <v>507740</v>
      </c>
      <c r="H131" s="25">
        <f t="shared" si="20"/>
        <v>5175188</v>
      </c>
      <c r="I131" s="76">
        <f t="shared" si="21"/>
        <v>0.5443128733469398</v>
      </c>
    </row>
    <row r="132" spans="1:9" s="1" customFormat="1" ht="10.5" customHeight="1">
      <c r="A132" s="47"/>
      <c r="B132" s="39" t="s">
        <v>12</v>
      </c>
      <c r="C132" s="14">
        <v>137591</v>
      </c>
      <c r="D132" s="14"/>
      <c r="E132" s="13">
        <f t="shared" si="19"/>
        <v>137591</v>
      </c>
      <c r="F132" s="14">
        <v>137591</v>
      </c>
      <c r="G132" s="14"/>
      <c r="H132" s="13">
        <f t="shared" si="20"/>
        <v>137591</v>
      </c>
      <c r="I132" s="76">
        <f t="shared" si="21"/>
        <v>1</v>
      </c>
    </row>
    <row r="133" spans="1:9" s="1" customFormat="1" ht="10.5" customHeight="1">
      <c r="A133" s="47"/>
      <c r="B133" s="39" t="s">
        <v>29</v>
      </c>
      <c r="C133" s="14">
        <v>474010</v>
      </c>
      <c r="D133" s="14"/>
      <c r="E133" s="13">
        <f t="shared" si="19"/>
        <v>474010</v>
      </c>
      <c r="F133" s="14">
        <v>237004</v>
      </c>
      <c r="G133" s="14"/>
      <c r="H133" s="13">
        <f t="shared" si="20"/>
        <v>237004</v>
      </c>
      <c r="I133" s="76">
        <f t="shared" si="21"/>
        <v>0.49999789033986625</v>
      </c>
    </row>
    <row r="134" spans="1:9" s="1" customFormat="1" ht="15" customHeight="1">
      <c r="A134" s="47"/>
      <c r="B134" s="11" t="s">
        <v>37</v>
      </c>
      <c r="C134" s="14">
        <v>59783</v>
      </c>
      <c r="D134" s="14"/>
      <c r="E134" s="13">
        <f aca="true" t="shared" si="22" ref="E134:E140">SUM(C134:D134)</f>
        <v>59783</v>
      </c>
      <c r="F134" s="14">
        <v>59783</v>
      </c>
      <c r="G134" s="14"/>
      <c r="H134" s="13">
        <f aca="true" t="shared" si="23" ref="H134:H140">SUM(F134:G134)</f>
        <v>59783</v>
      </c>
      <c r="I134" s="76">
        <f t="shared" si="21"/>
        <v>1</v>
      </c>
    </row>
    <row r="135" spans="1:9" s="2" customFormat="1" ht="10.5" customHeight="1">
      <c r="A135" s="47"/>
      <c r="B135" s="39" t="s">
        <v>111</v>
      </c>
      <c r="C135" s="14">
        <f>SUM(C136:C142)</f>
        <v>7932750</v>
      </c>
      <c r="D135" s="14">
        <f>SUM(D136:D142)</f>
        <v>903611</v>
      </c>
      <c r="E135" s="13">
        <f t="shared" si="22"/>
        <v>8836361</v>
      </c>
      <c r="F135" s="14">
        <f>SUM(F136:F142)</f>
        <v>4233070</v>
      </c>
      <c r="G135" s="14">
        <f>SUM(G136:G142)</f>
        <v>507740</v>
      </c>
      <c r="H135" s="13">
        <f t="shared" si="23"/>
        <v>4740810</v>
      </c>
      <c r="I135" s="76">
        <f aca="true" t="shared" si="24" ref="I135:I142">H135/E135</f>
        <v>0.5365115798234137</v>
      </c>
    </row>
    <row r="136" spans="1:9" s="20" customFormat="1" ht="12.75" customHeight="1">
      <c r="A136" s="43"/>
      <c r="B136" s="54" t="s">
        <v>19</v>
      </c>
      <c r="C136" s="19">
        <f>930000+33200</f>
        <v>963200</v>
      </c>
      <c r="D136" s="19"/>
      <c r="E136" s="18">
        <f t="shared" si="22"/>
        <v>963200</v>
      </c>
      <c r="F136" s="19">
        <v>509500</v>
      </c>
      <c r="G136" s="19"/>
      <c r="H136" s="18">
        <f t="shared" si="23"/>
        <v>509500</v>
      </c>
      <c r="I136" s="76">
        <f t="shared" si="24"/>
        <v>0.5289659468438538</v>
      </c>
    </row>
    <row r="137" spans="1:9" s="29" customFormat="1" ht="9.75" customHeight="1">
      <c r="A137" s="48"/>
      <c r="B137" s="54" t="s">
        <v>24</v>
      </c>
      <c r="C137" s="19"/>
      <c r="D137" s="19">
        <f>844420-5402-53937</f>
        <v>785081</v>
      </c>
      <c r="E137" s="18">
        <f t="shared" si="22"/>
        <v>785081</v>
      </c>
      <c r="F137" s="19"/>
      <c r="G137" s="19">
        <f>303744+134318</f>
        <v>438062</v>
      </c>
      <c r="H137" s="18">
        <f t="shared" si="23"/>
        <v>438062</v>
      </c>
      <c r="I137" s="76">
        <f t="shared" si="24"/>
        <v>0.5579831889957851</v>
      </c>
    </row>
    <row r="138" spans="1:9" s="29" customFormat="1" ht="12" customHeight="1">
      <c r="A138" s="48"/>
      <c r="B138" s="54" t="s">
        <v>112</v>
      </c>
      <c r="C138" s="56"/>
      <c r="D138" s="19">
        <f>150240-33168+1458</f>
        <v>118530</v>
      </c>
      <c r="E138" s="18">
        <f t="shared" si="22"/>
        <v>118530</v>
      </c>
      <c r="F138" s="56"/>
      <c r="G138" s="19">
        <f>38256+31422</f>
        <v>69678</v>
      </c>
      <c r="H138" s="18">
        <f t="shared" si="23"/>
        <v>69678</v>
      </c>
      <c r="I138" s="76">
        <f t="shared" si="24"/>
        <v>0.5878511769172361</v>
      </c>
    </row>
    <row r="139" spans="1:9" s="29" customFormat="1" ht="11.25" customHeight="1">
      <c r="A139" s="48"/>
      <c r="B139" s="55" t="s">
        <v>0</v>
      </c>
      <c r="C139" s="19">
        <v>388780</v>
      </c>
      <c r="D139" s="19"/>
      <c r="E139" s="18">
        <f t="shared" si="22"/>
        <v>388780</v>
      </c>
      <c r="F139" s="19">
        <v>201400</v>
      </c>
      <c r="G139" s="19"/>
      <c r="H139" s="18">
        <f t="shared" si="23"/>
        <v>201400</v>
      </c>
      <c r="I139" s="76">
        <f t="shared" si="24"/>
        <v>0.5180307628993261</v>
      </c>
    </row>
    <row r="140" spans="1:9" s="5" customFormat="1" ht="12.75" customHeight="1">
      <c r="A140" s="44"/>
      <c r="B140" s="55" t="s">
        <v>113</v>
      </c>
      <c r="C140" s="19">
        <v>192400</v>
      </c>
      <c r="D140" s="19"/>
      <c r="E140" s="18">
        <f t="shared" si="22"/>
        <v>192400</v>
      </c>
      <c r="F140" s="19">
        <v>109500</v>
      </c>
      <c r="G140" s="19"/>
      <c r="H140" s="18">
        <f t="shared" si="23"/>
        <v>109500</v>
      </c>
      <c r="I140" s="76">
        <f t="shared" si="24"/>
        <v>0.5691268191268192</v>
      </c>
    </row>
    <row r="141" spans="1:9" s="5" customFormat="1" ht="13.5" customHeight="1">
      <c r="A141" s="44"/>
      <c r="B141" s="55" t="s">
        <v>7</v>
      </c>
      <c r="C141" s="19">
        <v>4800000</v>
      </c>
      <c r="D141" s="19"/>
      <c r="E141" s="18">
        <f>SUM(C141:D141)</f>
        <v>4800000</v>
      </c>
      <c r="F141" s="19">
        <v>2485000</v>
      </c>
      <c r="G141" s="19"/>
      <c r="H141" s="18">
        <f>SUM(F141:G141)</f>
        <v>2485000</v>
      </c>
      <c r="I141" s="76">
        <f t="shared" si="24"/>
        <v>0.5177083333333333</v>
      </c>
    </row>
    <row r="142" spans="1:9" s="5" customFormat="1" ht="9.75" customHeight="1">
      <c r="A142" s="44"/>
      <c r="B142" s="55" t="s">
        <v>114</v>
      </c>
      <c r="C142" s="19">
        <f>1443300+145070</f>
        <v>1588370</v>
      </c>
      <c r="D142" s="19"/>
      <c r="E142" s="18">
        <f>SUM(C142:D142)</f>
        <v>1588370</v>
      </c>
      <c r="F142" s="19">
        <v>927670</v>
      </c>
      <c r="G142" s="19"/>
      <c r="H142" s="18">
        <f>SUM(F142:G142)</f>
        <v>927670</v>
      </c>
      <c r="I142" s="76">
        <f t="shared" si="24"/>
        <v>0.5840389833603001</v>
      </c>
    </row>
    <row r="144" ht="11.25">
      <c r="C144" s="71" t="s">
        <v>33</v>
      </c>
    </row>
    <row r="146" ht="11.25">
      <c r="E146" s="71"/>
    </row>
    <row r="150" spans="5:9" ht="11.25">
      <c r="E150" s="87"/>
      <c r="H150" s="87"/>
      <c r="I150" s="87"/>
    </row>
  </sheetData>
  <mergeCells count="10">
    <mergeCell ref="A105:B105"/>
    <mergeCell ref="A5:B5"/>
    <mergeCell ref="A6:B6"/>
    <mergeCell ref="A2:A3"/>
    <mergeCell ref="B2:B3"/>
    <mergeCell ref="A1:I1"/>
    <mergeCell ref="C2:E2"/>
    <mergeCell ref="I2:I3"/>
    <mergeCell ref="A102:B102"/>
    <mergeCell ref="F2:H2"/>
  </mergeCells>
  <printOptions/>
  <pageMargins left="0.17" right="0.17" top="0.55" bottom="0.24" header="0.5" footer="0.1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kbaza</cp:lastModifiedBy>
  <cp:lastPrinted>2010-08-09T10:35:06Z</cp:lastPrinted>
  <dcterms:created xsi:type="dcterms:W3CDTF">2005-11-15T08:37:02Z</dcterms:created>
  <dcterms:modified xsi:type="dcterms:W3CDTF">2010-08-09T10:35:22Z</dcterms:modified>
  <cp:category/>
  <cp:version/>
  <cp:contentType/>
  <cp:contentStatus/>
</cp:coreProperties>
</file>