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90" windowHeight="12270" activeTab="0"/>
  </bookViews>
  <sheets>
    <sheet name="cz. I" sheetId="1" r:id="rId1"/>
    <sheet name="cz. II" sheetId="2" r:id="rId2"/>
    <sheet name="plan finansowy" sheetId="3" r:id="rId3"/>
  </sheets>
  <definedNames>
    <definedName name="_xlnm.Print_Titles" localSheetId="0">'cz. I'!$A:$A,'cz. I'!$3:$3</definedName>
    <definedName name="_xlnm.Print_Titles" localSheetId="1">'cz. II'!$A:$A,'cz. II'!$3:$3</definedName>
  </definedNames>
  <calcPr fullCalcOnLoad="1"/>
</workbook>
</file>

<file path=xl/sharedStrings.xml><?xml version="1.0" encoding="utf-8"?>
<sst xmlns="http://schemas.openxmlformats.org/spreadsheetml/2006/main" count="643" uniqueCount="194">
  <si>
    <t>Plany finansowe placówek oświatowych na 2010 rok - część I</t>
  </si>
  <si>
    <t>§</t>
  </si>
  <si>
    <t>G 1</t>
  </si>
  <si>
    <t>G 2</t>
  </si>
  <si>
    <t>G 3</t>
  </si>
  <si>
    <t>SP 6</t>
  </si>
  <si>
    <t>G 4</t>
  </si>
  <si>
    <t>ZS 5</t>
  </si>
  <si>
    <t>SP 10</t>
  </si>
  <si>
    <t>ZS 6</t>
  </si>
  <si>
    <t>ZS 7</t>
  </si>
  <si>
    <t>SP 13</t>
  </si>
  <si>
    <t>ZSSOg.</t>
  </si>
  <si>
    <t>SP 16</t>
  </si>
  <si>
    <t>SP 17</t>
  </si>
  <si>
    <t>SP 18</t>
  </si>
  <si>
    <t>SP 20</t>
  </si>
  <si>
    <t>SP 21</t>
  </si>
  <si>
    <t>SP 23</t>
  </si>
  <si>
    <t>SP 26</t>
  </si>
  <si>
    <t>G 11</t>
  </si>
  <si>
    <t>SP 28</t>
  </si>
  <si>
    <t>SP 29</t>
  </si>
  <si>
    <t>ZS 9</t>
  </si>
  <si>
    <t>SP 33</t>
  </si>
  <si>
    <t>SP 34</t>
  </si>
  <si>
    <t>SP 35</t>
  </si>
  <si>
    <t>ZSOg. 5</t>
  </si>
  <si>
    <t>SP 37</t>
  </si>
  <si>
    <t>SP 39</t>
  </si>
  <si>
    <t>SP 40</t>
  </si>
  <si>
    <t>ZSOg. 4</t>
  </si>
  <si>
    <t>ZS 10</t>
  </si>
  <si>
    <t>ZS 11</t>
  </si>
  <si>
    <t>ZS 12</t>
  </si>
  <si>
    <t>ZWE 1</t>
  </si>
  <si>
    <t>ZS 13</t>
  </si>
  <si>
    <t>ZS 14</t>
  </si>
  <si>
    <t>ZS 15</t>
  </si>
  <si>
    <t>Razem</t>
  </si>
  <si>
    <t>§ 3020</t>
  </si>
  <si>
    <t>§ 4010</t>
  </si>
  <si>
    <t>§ 4040</t>
  </si>
  <si>
    <t>§ 4110</t>
  </si>
  <si>
    <t>§ 4120</t>
  </si>
  <si>
    <t>§ 4140</t>
  </si>
  <si>
    <t>§ 4170</t>
  </si>
  <si>
    <t>§ 4210</t>
  </si>
  <si>
    <t>§ 4217</t>
  </si>
  <si>
    <t>§ 4240</t>
  </si>
  <si>
    <t>§ 4260</t>
  </si>
  <si>
    <t>§ 4270</t>
  </si>
  <si>
    <t>§ 4280</t>
  </si>
  <si>
    <t>§ 4300</t>
  </si>
  <si>
    <t>§ 4307</t>
  </si>
  <si>
    <t>§ 4350</t>
  </si>
  <si>
    <t>§ 4360</t>
  </si>
  <si>
    <t>§ 4370</t>
  </si>
  <si>
    <t>§ 4410</t>
  </si>
  <si>
    <t>§ 4427</t>
  </si>
  <si>
    <t>§ 4430</t>
  </si>
  <si>
    <t>§ 4440</t>
  </si>
  <si>
    <t>§ 4700</t>
  </si>
  <si>
    <t>§ 4740</t>
  </si>
  <si>
    <t>§ 4750</t>
  </si>
  <si>
    <t>§ 4757</t>
  </si>
  <si>
    <t>§ 6050</t>
  </si>
  <si>
    <t>§ 6060</t>
  </si>
  <si>
    <t>Rozdział 80101</t>
  </si>
  <si>
    <t>Rozdział 80103</t>
  </si>
  <si>
    <t>§ 4247</t>
  </si>
  <si>
    <t>§ 4417</t>
  </si>
  <si>
    <t>Rozdział 80110</t>
  </si>
  <si>
    <t>Rozdział 80113</t>
  </si>
  <si>
    <t>Rozdział 80120</t>
  </si>
  <si>
    <t>§ 4220</t>
  </si>
  <si>
    <t>Rozdział 80148</t>
  </si>
  <si>
    <t>Rozdział 80195</t>
  </si>
  <si>
    <t>Rozdział 85154</t>
  </si>
  <si>
    <t>Rozdział 85401</t>
  </si>
  <si>
    <t>Rozdział 85412</t>
  </si>
  <si>
    <t xml:space="preserve">Ogółem </t>
  </si>
  <si>
    <t>Zespół Szkół Ogólnokształcących Nr 6</t>
  </si>
  <si>
    <t>Zespół Szkół Specjalnych Nr 17</t>
  </si>
  <si>
    <t>Specjalny Ośrodek Szkolno-Wychowawczy Nr 1</t>
  </si>
  <si>
    <t>Specjalny Ośrodek Szkolno-Wychowawczy Nr 2</t>
  </si>
  <si>
    <t>I Akademickie Liceum Ogólnokształcące</t>
  </si>
  <si>
    <t>Zespół Szkół Ogólnokształcących Nr 2</t>
  </si>
  <si>
    <t>Zespół Szkół Ogólnokształcących Nr 1</t>
  </si>
  <si>
    <t>IV LO</t>
  </si>
  <si>
    <t>V LO</t>
  </si>
  <si>
    <t>VI LO</t>
  </si>
  <si>
    <t>IX LO</t>
  </si>
  <si>
    <t>X LO</t>
  </si>
  <si>
    <t>Zespół Szkół Administracyjno-Ekonomicznych</t>
  </si>
  <si>
    <t>Zespół Szkół Budowlanych</t>
  </si>
  <si>
    <t>Zespół Szkół Chłodniczych i Elektronicznych</t>
  </si>
  <si>
    <t>Zespół Szkół Hotelarsko-Gastronomicznych</t>
  </si>
  <si>
    <t>Zespół Szkół Mechanicznych</t>
  </si>
  <si>
    <t>Zespół Szkół Usługowych</t>
  </si>
  <si>
    <t>Zespół Szkół Budownictwa Okrętowego</t>
  </si>
  <si>
    <t>Zespół Szkół Zawodowych Nr 1</t>
  </si>
  <si>
    <t>Zespół Szkół Zawodowych Nr 2</t>
  </si>
  <si>
    <t>Technikum Transportowe</t>
  </si>
  <si>
    <t>Kolegium Miejskie</t>
  </si>
  <si>
    <t>Szkoła Muzyczna I i II stopnia</t>
  </si>
  <si>
    <t>Gdyński Ośrodek Dokształcania Nauczycieli</t>
  </si>
  <si>
    <t>Poradnia Psychologiczno-Pedagogiczna Nr 1</t>
  </si>
  <si>
    <t>Poradnia Psychologiczno-Pedagogiczna Nr 2</t>
  </si>
  <si>
    <t>Poradnia Psychologiczno-Pedagogiczna Nr 3</t>
  </si>
  <si>
    <t>Młodzieżowy Dom Kultury</t>
  </si>
  <si>
    <t>Schronisko Młodzieżowe</t>
  </si>
  <si>
    <t>RAZEM</t>
  </si>
  <si>
    <t>Dział 801</t>
  </si>
  <si>
    <t>RAZEM  80102</t>
  </si>
  <si>
    <t>RAZEM 80110</t>
  </si>
  <si>
    <t>RAZEM  80111</t>
  </si>
  <si>
    <t>RAZEM  80113</t>
  </si>
  <si>
    <t>RAZEM  80120</t>
  </si>
  <si>
    <t>RAZEM  80121</t>
  </si>
  <si>
    <t>RAZEM  80123</t>
  </si>
  <si>
    <t>RAZEM  80130</t>
  </si>
  <si>
    <t>RAZEM  80132</t>
  </si>
  <si>
    <t>RAZEM  80134</t>
  </si>
  <si>
    <t>RAZEM  80140</t>
  </si>
  <si>
    <t>RAZEM  80141</t>
  </si>
  <si>
    <t>RAZEM  80148</t>
  </si>
  <si>
    <t>RAZEM  80195</t>
  </si>
  <si>
    <t>Dział 851</t>
  </si>
  <si>
    <t>RAZEM 85154</t>
  </si>
  <si>
    <t>DZIAŁ  854</t>
  </si>
  <si>
    <t>RAZEM  85401</t>
  </si>
  <si>
    <t>RAZEM  85403</t>
  </si>
  <si>
    <t>RAZEM  85404</t>
  </si>
  <si>
    <t>§ 4400</t>
  </si>
  <si>
    <t>RAZEM  85406</t>
  </si>
  <si>
    <t>RAZEM  85407</t>
  </si>
  <si>
    <t>RAZEM  85410</t>
  </si>
  <si>
    <t>RAZEM  85417</t>
  </si>
  <si>
    <t>OGÓŁEM</t>
  </si>
  <si>
    <t>Plany finansowe placówek oświatowych na 2010 rok - część II</t>
  </si>
  <si>
    <t xml:space="preserve">   PLAN FINANSOWY PRZEDSZKOLI NA 2010 rok            </t>
  </si>
  <si>
    <t>PRZYCHODY</t>
  </si>
  <si>
    <t>ROZCHODY</t>
  </si>
  <si>
    <t>NR</t>
  </si>
  <si>
    <t>W TYM</t>
  </si>
  <si>
    <t>STAN ŚR</t>
  </si>
  <si>
    <t>w tym</t>
  </si>
  <si>
    <t>stan śr.</t>
  </si>
  <si>
    <t>Koszt</t>
  </si>
  <si>
    <t>PLAC.</t>
  </si>
  <si>
    <t>liczba</t>
  </si>
  <si>
    <t>min.</t>
  </si>
  <si>
    <t xml:space="preserve">dzieci </t>
  </si>
  <si>
    <t>OBR. na</t>
  </si>
  <si>
    <t>dotacje</t>
  </si>
  <si>
    <t>§ 83</t>
  </si>
  <si>
    <t>§092-097</t>
  </si>
  <si>
    <t>§ 401</t>
  </si>
  <si>
    <t>§ 404</t>
  </si>
  <si>
    <t>§ 411</t>
  </si>
  <si>
    <t>§ 412</t>
  </si>
  <si>
    <t>§ 417</t>
  </si>
  <si>
    <t>razem</t>
  </si>
  <si>
    <t>§ 444</t>
  </si>
  <si>
    <t>§ 422</t>
  </si>
  <si>
    <t>POZOST.</t>
  </si>
  <si>
    <t>podatek</t>
  </si>
  <si>
    <t>obr.na</t>
  </si>
  <si>
    <t>mies.</t>
  </si>
  <si>
    <t>DZIECI</t>
  </si>
  <si>
    <t>do 80</t>
  </si>
  <si>
    <t>81-110</t>
  </si>
  <si>
    <t>111-135</t>
  </si>
  <si>
    <t>p.136</t>
  </si>
  <si>
    <t>niepeł.</t>
  </si>
  <si>
    <t>p.roku</t>
  </si>
  <si>
    <t>inne zw.</t>
  </si>
  <si>
    <t>płace</t>
  </si>
  <si>
    <t>wyn.rocz.</t>
  </si>
  <si>
    <t>ZUS</t>
  </si>
  <si>
    <t>F.Pracy</t>
  </si>
  <si>
    <t>bezosob.</t>
  </si>
  <si>
    <t>ZFŚS</t>
  </si>
  <si>
    <t>śr.żywn.</t>
  </si>
  <si>
    <t>&amp; 21-40</t>
  </si>
  <si>
    <t>k.roku</t>
  </si>
  <si>
    <t>1dz.</t>
  </si>
  <si>
    <t>rzeczowe</t>
  </si>
  <si>
    <t>majątkowe</t>
  </si>
  <si>
    <t>nagrody Prezydenta</t>
  </si>
  <si>
    <t>środki nierozdysp.dzieci niepeł.</t>
  </si>
  <si>
    <t>środki nierozdysponowane na utrzymanie kuchni</t>
  </si>
  <si>
    <t>Razem: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</si>
</sst>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0.00000"/>
    <numFmt numFmtId="174" formatCode="#,##0_ ;[Red]\-#,##0\ 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.5"/>
      <name val="Arial CE"/>
      <family val="0"/>
    </font>
    <font>
      <b/>
      <sz val="9"/>
      <name val="Arial CE"/>
      <family val="0"/>
    </font>
    <font>
      <b/>
      <i/>
      <sz val="8"/>
      <name val="Arial CE"/>
      <family val="0"/>
    </font>
    <font>
      <i/>
      <sz val="8"/>
      <name val="Arial CE"/>
      <family val="0"/>
    </font>
    <font>
      <b/>
      <sz val="12"/>
      <name val="Arial"/>
      <family val="2"/>
    </font>
    <font>
      <sz val="9"/>
      <name val="Arial CE"/>
      <family val="2"/>
    </font>
    <font>
      <b/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textRotation="90"/>
    </xf>
    <xf numFmtId="3" fontId="7" fillId="2" borderId="1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0" fillId="0" borderId="0" xfId="18" applyFill="1">
      <alignment/>
      <protection/>
    </xf>
    <xf numFmtId="0" fontId="0" fillId="0" borderId="0" xfId="18">
      <alignment/>
      <protection/>
    </xf>
    <xf numFmtId="0" fontId="9" fillId="0" borderId="1" xfId="18" applyFont="1" applyFill="1" applyBorder="1" applyAlignment="1">
      <alignment horizontal="centerContinuous"/>
      <protection/>
    </xf>
    <xf numFmtId="0" fontId="9" fillId="0" borderId="1" xfId="18" applyFont="1" applyBorder="1" applyAlignment="1">
      <alignment horizontal="centerContinuous"/>
      <protection/>
    </xf>
    <xf numFmtId="0" fontId="9" fillId="0" borderId="1" xfId="18" applyFont="1" applyBorder="1" applyAlignment="1">
      <alignment horizontal="center"/>
      <protection/>
    </xf>
    <xf numFmtId="0" fontId="13" fillId="0" borderId="1" xfId="18" applyFont="1" applyBorder="1">
      <alignment/>
      <protection/>
    </xf>
    <xf numFmtId="0" fontId="13" fillId="0" borderId="1" xfId="18" applyFont="1" applyFill="1" applyBorder="1">
      <alignment/>
      <protection/>
    </xf>
    <xf numFmtId="0" fontId="13" fillId="0" borderId="0" xfId="18" applyFont="1">
      <alignment/>
      <protection/>
    </xf>
    <xf numFmtId="0" fontId="9" fillId="0" borderId="1" xfId="18" applyFont="1" applyFill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0" fontId="6" fillId="0" borderId="1" xfId="18" applyFont="1" applyBorder="1">
      <alignment/>
      <protection/>
    </xf>
    <xf numFmtId="0" fontId="13" fillId="0" borderId="1" xfId="18" applyFont="1" applyBorder="1" applyAlignment="1">
      <alignment horizontal="center"/>
      <protection/>
    </xf>
    <xf numFmtId="0" fontId="9" fillId="0" borderId="1" xfId="18" applyFont="1" applyBorder="1">
      <alignment/>
      <protection/>
    </xf>
    <xf numFmtId="0" fontId="1" fillId="0" borderId="1" xfId="18" applyFont="1" applyFill="1" applyBorder="1">
      <alignment/>
      <protection/>
    </xf>
    <xf numFmtId="0" fontId="13" fillId="0" borderId="1" xfId="18" applyFont="1" applyBorder="1">
      <alignment/>
      <protection/>
    </xf>
    <xf numFmtId="0" fontId="6" fillId="0" borderId="1" xfId="18" applyFont="1" applyBorder="1">
      <alignment/>
      <protection/>
    </xf>
    <xf numFmtId="3" fontId="0" fillId="0" borderId="1" xfId="18" applyNumberFormat="1" applyFont="1" applyBorder="1">
      <alignment/>
      <protection/>
    </xf>
    <xf numFmtId="3" fontId="0" fillId="0" borderId="1" xfId="18" applyNumberFormat="1" applyFont="1" applyFill="1" applyBorder="1">
      <alignment/>
      <protection/>
    </xf>
    <xf numFmtId="3" fontId="1" fillId="0" borderId="1" xfId="18" applyNumberFormat="1" applyFont="1" applyBorder="1" applyAlignment="1">
      <alignment horizontal="right"/>
      <protection/>
    </xf>
    <xf numFmtId="3" fontId="1" fillId="0" borderId="1" xfId="18" applyNumberFormat="1" applyFont="1" applyBorder="1">
      <alignment/>
      <protection/>
    </xf>
    <xf numFmtId="3" fontId="1" fillId="0" borderId="1" xfId="18" applyNumberFormat="1" applyFont="1" applyFill="1" applyBorder="1">
      <alignment/>
      <protection/>
    </xf>
    <xf numFmtId="3" fontId="0" fillId="0" borderId="1" xfId="18" applyNumberFormat="1" applyFill="1" applyBorder="1">
      <alignment/>
      <protection/>
    </xf>
    <xf numFmtId="0" fontId="0" fillId="0" borderId="0" xfId="18" applyFont="1">
      <alignment/>
      <protection/>
    </xf>
    <xf numFmtId="0" fontId="1" fillId="0" borderId="1" xfId="18" applyFont="1" applyFill="1" applyBorder="1">
      <alignment/>
      <protection/>
    </xf>
    <xf numFmtId="0" fontId="1" fillId="0" borderId="1" xfId="18" applyFont="1" applyBorder="1">
      <alignment/>
      <protection/>
    </xf>
    <xf numFmtId="3" fontId="1" fillId="0" borderId="1" xfId="18" applyNumberFormat="1" applyFont="1" applyBorder="1">
      <alignment/>
      <protection/>
    </xf>
    <xf numFmtId="0" fontId="1" fillId="0" borderId="0" xfId="18" applyFont="1">
      <alignment/>
      <protection/>
    </xf>
    <xf numFmtId="0" fontId="13" fillId="0" borderId="2" xfId="18" applyFont="1" applyFill="1" applyBorder="1">
      <alignment/>
      <protection/>
    </xf>
    <xf numFmtId="0" fontId="0" fillId="0" borderId="3" xfId="18" applyFont="1" applyBorder="1">
      <alignment/>
      <protection/>
    </xf>
    <xf numFmtId="0" fontId="2" fillId="0" borderId="3" xfId="18" applyFont="1" applyBorder="1">
      <alignment/>
      <protection/>
    </xf>
    <xf numFmtId="0" fontId="2" fillId="0" borderId="4" xfId="18" applyFont="1" applyBorder="1">
      <alignment/>
      <protection/>
    </xf>
    <xf numFmtId="3" fontId="2" fillId="0" borderId="4" xfId="18" applyNumberFormat="1" applyFont="1" applyFill="1" applyBorder="1">
      <alignment/>
      <protection/>
    </xf>
    <xf numFmtId="3" fontId="2" fillId="0" borderId="5" xfId="18" applyNumberFormat="1" applyFont="1" applyBorder="1" applyAlignment="1">
      <alignment/>
      <protection/>
    </xf>
    <xf numFmtId="0" fontId="0" fillId="0" borderId="5" xfId="18" applyFont="1" applyBorder="1">
      <alignment/>
      <protection/>
    </xf>
    <xf numFmtId="3" fontId="2" fillId="0" borderId="5" xfId="18" applyNumberFormat="1" applyFont="1" applyBorder="1">
      <alignment/>
      <protection/>
    </xf>
    <xf numFmtId="3" fontId="0" fillId="0" borderId="5" xfId="18" applyNumberFormat="1" applyFont="1" applyBorder="1">
      <alignment/>
      <protection/>
    </xf>
    <xf numFmtId="3" fontId="0" fillId="0" borderId="5" xfId="18" applyNumberFormat="1" applyFont="1" applyFill="1" applyBorder="1">
      <alignment/>
      <protection/>
    </xf>
    <xf numFmtId="3" fontId="2" fillId="0" borderId="5" xfId="18" applyNumberFormat="1" applyFont="1" applyBorder="1" applyAlignment="1">
      <alignment horizontal="right"/>
      <protection/>
    </xf>
    <xf numFmtId="0" fontId="0" fillId="0" borderId="2" xfId="18" applyFont="1" applyBorder="1">
      <alignment/>
      <protection/>
    </xf>
    <xf numFmtId="0" fontId="0" fillId="0" borderId="1" xfId="18" applyFont="1" applyFill="1" applyBorder="1">
      <alignment/>
      <protection/>
    </xf>
    <xf numFmtId="0" fontId="0" fillId="0" borderId="0" xfId="18" applyFont="1">
      <alignment/>
      <protection/>
    </xf>
    <xf numFmtId="3" fontId="2" fillId="0" borderId="5" xfId="18" applyNumberFormat="1" applyFont="1" applyFill="1" applyBorder="1" applyAlignment="1">
      <alignment/>
      <protection/>
    </xf>
    <xf numFmtId="0" fontId="0" fillId="0" borderId="1" xfId="18" applyBorder="1">
      <alignment/>
      <protection/>
    </xf>
    <xf numFmtId="0" fontId="1" fillId="0" borderId="1" xfId="18" applyFont="1" applyBorder="1">
      <alignment/>
      <protection/>
    </xf>
    <xf numFmtId="3" fontId="1" fillId="0" borderId="1" xfId="18" applyNumberFormat="1" applyFont="1" applyFill="1" applyBorder="1" applyAlignment="1">
      <alignment/>
      <protection/>
    </xf>
    <xf numFmtId="3" fontId="1" fillId="0" borderId="1" xfId="18" applyNumberFormat="1" applyFont="1" applyBorder="1" applyAlignment="1">
      <alignment/>
      <protection/>
    </xf>
    <xf numFmtId="0" fontId="0" fillId="0" borderId="6" xfId="18" applyBorder="1">
      <alignment/>
      <protection/>
    </xf>
    <xf numFmtId="0" fontId="0" fillId="0" borderId="1" xfId="18" applyFill="1" applyBorder="1">
      <alignment/>
      <protection/>
    </xf>
    <xf numFmtId="3" fontId="0" fillId="0" borderId="0" xfId="18" applyNumberFormat="1">
      <alignment/>
      <protection/>
    </xf>
    <xf numFmtId="0" fontId="12" fillId="0" borderId="0" xfId="0" applyFont="1" applyAlignment="1">
      <alignment horizontal="center"/>
    </xf>
    <xf numFmtId="0" fontId="9" fillId="0" borderId="1" xfId="18" applyFont="1" applyBorder="1" applyAlignment="1">
      <alignment horizontal="center"/>
      <protection/>
    </xf>
    <xf numFmtId="0" fontId="14" fillId="0" borderId="3" xfId="18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budżet przedszkola 2010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tabSelected="1" workbookViewId="0" topLeftCell="A1">
      <pane xSplit="1" ySplit="3" topLeftCell="B15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2" sqref="O32"/>
    </sheetView>
  </sheetViews>
  <sheetFormatPr defaultColWidth="9.00390625" defaultRowHeight="12.75"/>
  <cols>
    <col min="1" max="1" width="13.625" style="13" customWidth="1"/>
    <col min="2" max="2" width="11.125" style="3" bestFit="1" customWidth="1"/>
    <col min="3" max="3" width="9.625" style="3" bestFit="1" customWidth="1"/>
    <col min="4" max="5" width="8.625" style="3" customWidth="1"/>
    <col min="6" max="6" width="8.75390625" style="3" customWidth="1"/>
    <col min="7" max="7" width="9.125" style="3" customWidth="1"/>
    <col min="8" max="8" width="9.00390625" style="3" customWidth="1"/>
    <col min="9" max="9" width="8.625" style="3" customWidth="1"/>
    <col min="10" max="10" width="9.125" style="3" customWidth="1"/>
    <col min="11" max="11" width="9.00390625" style="3" customWidth="1"/>
    <col min="12" max="12" width="8.875" style="3" customWidth="1"/>
    <col min="13" max="14" width="8.375" style="3" customWidth="1"/>
    <col min="15" max="15" width="8.125" style="3" customWidth="1"/>
    <col min="16" max="17" width="8.25390625" style="3" customWidth="1"/>
    <col min="18" max="18" width="8.625" style="3" customWidth="1"/>
    <col min="19" max="19" width="8.75390625" style="3" customWidth="1"/>
    <col min="20" max="20" width="8.625" style="3" customWidth="1"/>
    <col min="21" max="21" width="8.375" style="3" customWidth="1"/>
    <col min="22" max="22" width="8.75390625" style="3" customWidth="1"/>
    <col min="23" max="23" width="8.625" style="3" customWidth="1"/>
    <col min="24" max="24" width="7.875" style="3" bestFit="1" customWidth="1"/>
    <col min="25" max="25" width="8.75390625" style="3" customWidth="1"/>
    <col min="26" max="26" width="8.625" style="3" customWidth="1"/>
    <col min="27" max="27" width="8.75390625" style="3" customWidth="1"/>
    <col min="28" max="28" width="8.875" style="3" customWidth="1"/>
    <col min="29" max="29" width="7.375" style="3" customWidth="1"/>
    <col min="30" max="30" width="7.75390625" style="3" customWidth="1"/>
    <col min="31" max="31" width="8.00390625" style="3" customWidth="1"/>
    <col min="32" max="32" width="8.75390625" style="3" customWidth="1"/>
    <col min="33" max="34" width="8.00390625" style="3" customWidth="1"/>
    <col min="35" max="35" width="9.00390625" style="3" customWidth="1"/>
    <col min="36" max="36" width="9.75390625" style="3" customWidth="1"/>
    <col min="37" max="37" width="9.00390625" style="3" customWidth="1"/>
    <col min="38" max="38" width="8.00390625" style="3" customWidth="1"/>
    <col min="39" max="39" width="9.875" style="3" customWidth="1"/>
    <col min="40" max="16384" width="9.125" style="3" customWidth="1"/>
  </cols>
  <sheetData>
    <row r="1" spans="1:39" ht="15.75">
      <c r="A1" s="1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7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  <c r="AJ3" s="7" t="s">
        <v>36</v>
      </c>
      <c r="AK3" s="7" t="s">
        <v>37</v>
      </c>
      <c r="AL3" s="7" t="s">
        <v>38</v>
      </c>
      <c r="AM3" s="6" t="s">
        <v>39</v>
      </c>
    </row>
    <row r="4" spans="1:39" ht="12.75">
      <c r="A4" s="8" t="s">
        <v>40</v>
      </c>
      <c r="B4" s="9"/>
      <c r="C4" s="9"/>
      <c r="D4" s="9"/>
      <c r="E4" s="9">
        <v>9399</v>
      </c>
      <c r="F4" s="9"/>
      <c r="G4" s="9">
        <v>3720</v>
      </c>
      <c r="H4" s="9">
        <v>7597</v>
      </c>
      <c r="I4" s="9">
        <v>3025</v>
      </c>
      <c r="J4" s="9">
        <v>5413</v>
      </c>
      <c r="K4" s="9">
        <v>5238</v>
      </c>
      <c r="L4" s="9">
        <v>3367</v>
      </c>
      <c r="M4" s="9">
        <v>3801</v>
      </c>
      <c r="N4" s="9">
        <v>4864</v>
      </c>
      <c r="O4" s="9">
        <v>7980</v>
      </c>
      <c r="P4" s="9">
        <v>5702</v>
      </c>
      <c r="Q4" s="9">
        <v>5264</v>
      </c>
      <c r="R4" s="9">
        <v>3806</v>
      </c>
      <c r="S4" s="9">
        <v>4752</v>
      </c>
      <c r="T4" s="9"/>
      <c r="U4" s="9">
        <v>3994</v>
      </c>
      <c r="V4" s="9">
        <v>4958</v>
      </c>
      <c r="W4" s="9">
        <v>8493</v>
      </c>
      <c r="X4" s="9">
        <v>7448</v>
      </c>
      <c r="Y4" s="9">
        <v>5717</v>
      </c>
      <c r="Z4" s="9">
        <v>5340</v>
      </c>
      <c r="AA4" s="9"/>
      <c r="AB4" s="9">
        <v>2438</v>
      </c>
      <c r="AC4" s="9">
        <v>7658</v>
      </c>
      <c r="AD4" s="9">
        <v>10514</v>
      </c>
      <c r="AE4" s="9"/>
      <c r="AF4" s="9">
        <v>8605</v>
      </c>
      <c r="AG4" s="9">
        <v>6747</v>
      </c>
      <c r="AH4" s="9">
        <v>1663</v>
      </c>
      <c r="AI4" s="9">
        <v>4125</v>
      </c>
      <c r="AJ4" s="9">
        <v>7259</v>
      </c>
      <c r="AK4" s="9">
        <v>9631</v>
      </c>
      <c r="AL4" s="9">
        <v>4424</v>
      </c>
      <c r="AM4" s="10">
        <f aca="true" t="shared" si="0" ref="AM4:AM35">SUM(B4:AL4)</f>
        <v>172942</v>
      </c>
    </row>
    <row r="5" spans="1:39" ht="12.75">
      <c r="A5" s="8" t="s">
        <v>41</v>
      </c>
      <c r="B5" s="9"/>
      <c r="C5" s="9"/>
      <c r="D5" s="9"/>
      <c r="E5" s="9">
        <v>2308165</v>
      </c>
      <c r="F5" s="9"/>
      <c r="G5" s="9">
        <v>1095296</v>
      </c>
      <c r="H5" s="9">
        <v>2745379</v>
      </c>
      <c r="I5" s="9">
        <v>884839</v>
      </c>
      <c r="J5" s="9">
        <v>1644339</v>
      </c>
      <c r="K5" s="9">
        <v>1384369</v>
      </c>
      <c r="L5" s="9">
        <v>771772</v>
      </c>
      <c r="M5" s="9">
        <v>1695247</v>
      </c>
      <c r="N5" s="9">
        <v>1623334</v>
      </c>
      <c r="O5" s="9">
        <v>2717172</v>
      </c>
      <c r="P5" s="9">
        <v>1666477</v>
      </c>
      <c r="Q5" s="9">
        <v>1592183</v>
      </c>
      <c r="R5" s="9">
        <v>1164046</v>
      </c>
      <c r="S5" s="9">
        <v>1297617</v>
      </c>
      <c r="T5" s="9"/>
      <c r="U5" s="9">
        <v>1869109</v>
      </c>
      <c r="V5" s="9">
        <v>1557827</v>
      </c>
      <c r="W5" s="9">
        <v>2295337</v>
      </c>
      <c r="X5" s="9">
        <v>2234122</v>
      </c>
      <c r="Y5" s="9">
        <v>1732231</v>
      </c>
      <c r="Z5" s="9">
        <v>1756596</v>
      </c>
      <c r="AA5" s="9"/>
      <c r="AB5" s="9">
        <v>707309</v>
      </c>
      <c r="AC5" s="9">
        <v>2512566</v>
      </c>
      <c r="AD5" s="9">
        <v>2623820</v>
      </c>
      <c r="AE5" s="9"/>
      <c r="AF5" s="9">
        <v>1532872</v>
      </c>
      <c r="AG5" s="9">
        <v>1705133</v>
      </c>
      <c r="AH5" s="9">
        <v>623700</v>
      </c>
      <c r="AI5" s="9">
        <v>1083240</v>
      </c>
      <c r="AJ5" s="9">
        <v>1764028</v>
      </c>
      <c r="AK5" s="9">
        <v>2627314</v>
      </c>
      <c r="AL5" s="9">
        <v>1027945</v>
      </c>
      <c r="AM5" s="10">
        <f t="shared" si="0"/>
        <v>50243384</v>
      </c>
    </row>
    <row r="6" spans="1:39" ht="12.75">
      <c r="A6" s="8" t="s">
        <v>42</v>
      </c>
      <c r="B6" s="9"/>
      <c r="C6" s="9"/>
      <c r="D6" s="9"/>
      <c r="E6" s="9">
        <v>187774</v>
      </c>
      <c r="F6" s="9"/>
      <c r="G6" s="9">
        <v>82500</v>
      </c>
      <c r="H6" s="9">
        <v>204558</v>
      </c>
      <c r="I6" s="9">
        <v>65334</v>
      </c>
      <c r="J6" s="9">
        <v>130532</v>
      </c>
      <c r="K6" s="9">
        <v>118831</v>
      </c>
      <c r="L6" s="9">
        <v>62690</v>
      </c>
      <c r="M6" s="9">
        <v>139800</v>
      </c>
      <c r="N6" s="9">
        <v>133300</v>
      </c>
      <c r="O6" s="9">
        <v>207815</v>
      </c>
      <c r="P6" s="9">
        <v>131626</v>
      </c>
      <c r="Q6" s="9">
        <v>128152</v>
      </c>
      <c r="R6" s="9">
        <v>108483</v>
      </c>
      <c r="S6" s="9">
        <v>104668</v>
      </c>
      <c r="T6" s="9"/>
      <c r="U6" s="9">
        <v>141390</v>
      </c>
      <c r="V6" s="9">
        <v>123859</v>
      </c>
      <c r="W6" s="9">
        <v>193646</v>
      </c>
      <c r="X6" s="9">
        <v>185687</v>
      </c>
      <c r="Y6" s="9">
        <v>130997</v>
      </c>
      <c r="Z6" s="9">
        <v>131358</v>
      </c>
      <c r="AA6" s="9"/>
      <c r="AB6" s="9">
        <v>54243</v>
      </c>
      <c r="AC6" s="9">
        <v>199587</v>
      </c>
      <c r="AD6" s="9">
        <v>216373</v>
      </c>
      <c r="AE6" s="9"/>
      <c r="AF6" s="9">
        <v>112648</v>
      </c>
      <c r="AG6" s="9">
        <v>129752</v>
      </c>
      <c r="AH6" s="9">
        <v>51350</v>
      </c>
      <c r="AI6" s="9">
        <v>84192</v>
      </c>
      <c r="AJ6" s="9">
        <v>133465</v>
      </c>
      <c r="AK6" s="9">
        <v>199434</v>
      </c>
      <c r="AL6" s="9">
        <v>80411</v>
      </c>
      <c r="AM6" s="10">
        <f t="shared" si="0"/>
        <v>3974455</v>
      </c>
    </row>
    <row r="7" spans="1:39" ht="12.75">
      <c r="A7" s="8" t="s">
        <v>43</v>
      </c>
      <c r="B7" s="9"/>
      <c r="C7" s="9"/>
      <c r="D7" s="9"/>
      <c r="E7" s="9">
        <v>388784</v>
      </c>
      <c r="F7" s="9"/>
      <c r="G7" s="9">
        <v>182300</v>
      </c>
      <c r="H7" s="9">
        <v>459578</v>
      </c>
      <c r="I7" s="9">
        <v>146236</v>
      </c>
      <c r="J7" s="9">
        <v>272502</v>
      </c>
      <c r="K7" s="9">
        <v>233474</v>
      </c>
      <c r="L7" s="9">
        <v>130564</v>
      </c>
      <c r="M7" s="9">
        <v>283282</v>
      </c>
      <c r="N7" s="9">
        <v>271863</v>
      </c>
      <c r="O7" s="9">
        <v>450416</v>
      </c>
      <c r="P7" s="9">
        <v>279654</v>
      </c>
      <c r="Q7" s="9">
        <v>265535</v>
      </c>
      <c r="R7" s="9">
        <v>194650</v>
      </c>
      <c r="S7" s="9">
        <v>217287</v>
      </c>
      <c r="T7" s="9"/>
      <c r="U7" s="9">
        <v>307798</v>
      </c>
      <c r="V7" s="9">
        <v>260131</v>
      </c>
      <c r="W7" s="9">
        <v>385291</v>
      </c>
      <c r="X7" s="9">
        <v>375304</v>
      </c>
      <c r="Y7" s="9">
        <v>287790</v>
      </c>
      <c r="Z7" s="9">
        <v>289929</v>
      </c>
      <c r="AA7" s="9"/>
      <c r="AB7" s="9">
        <v>116476</v>
      </c>
      <c r="AC7" s="9">
        <v>414553</v>
      </c>
      <c r="AD7" s="9">
        <v>440359</v>
      </c>
      <c r="AE7" s="9"/>
      <c r="AF7" s="9">
        <v>255311</v>
      </c>
      <c r="AG7" s="9">
        <v>282153</v>
      </c>
      <c r="AH7" s="9">
        <v>104184</v>
      </c>
      <c r="AI7" s="9">
        <v>179986</v>
      </c>
      <c r="AJ7" s="9">
        <v>291375</v>
      </c>
      <c r="AK7" s="9">
        <v>439717</v>
      </c>
      <c r="AL7" s="9">
        <v>171336</v>
      </c>
      <c r="AM7" s="10">
        <f t="shared" si="0"/>
        <v>8377818</v>
      </c>
    </row>
    <row r="8" spans="1:39" ht="12.75">
      <c r="A8" s="8" t="s">
        <v>44</v>
      </c>
      <c r="B8" s="9"/>
      <c r="C8" s="9"/>
      <c r="D8" s="9"/>
      <c r="E8" s="9">
        <v>61852</v>
      </c>
      <c r="F8" s="9"/>
      <c r="G8" s="9">
        <v>29002</v>
      </c>
      <c r="H8" s="9">
        <v>73115</v>
      </c>
      <c r="I8" s="9">
        <v>23265</v>
      </c>
      <c r="J8" s="9">
        <v>43353</v>
      </c>
      <c r="K8" s="9">
        <v>37144</v>
      </c>
      <c r="L8" s="9">
        <v>20772</v>
      </c>
      <c r="M8" s="9">
        <v>45068</v>
      </c>
      <c r="N8" s="9">
        <v>43251</v>
      </c>
      <c r="O8" s="9">
        <v>71657</v>
      </c>
      <c r="P8" s="9">
        <v>44490</v>
      </c>
      <c r="Q8" s="9">
        <v>42244</v>
      </c>
      <c r="R8" s="9">
        <v>30967</v>
      </c>
      <c r="S8" s="9">
        <v>34568</v>
      </c>
      <c r="T8" s="9"/>
      <c r="U8" s="9">
        <v>48968</v>
      </c>
      <c r="V8" s="9">
        <v>41385</v>
      </c>
      <c r="W8" s="9">
        <v>61296</v>
      </c>
      <c r="X8" s="9">
        <v>59707</v>
      </c>
      <c r="Y8" s="9">
        <v>45785</v>
      </c>
      <c r="Z8" s="9">
        <v>46125</v>
      </c>
      <c r="AA8" s="9"/>
      <c r="AB8" s="9">
        <v>18530</v>
      </c>
      <c r="AC8" s="9">
        <v>65952</v>
      </c>
      <c r="AD8" s="9">
        <v>70057</v>
      </c>
      <c r="AE8" s="9"/>
      <c r="AF8" s="9">
        <v>40618</v>
      </c>
      <c r="AG8" s="9">
        <v>44888</v>
      </c>
      <c r="AH8" s="9">
        <v>16575</v>
      </c>
      <c r="AI8" s="9">
        <v>28634</v>
      </c>
      <c r="AJ8" s="9">
        <v>46355</v>
      </c>
      <c r="AK8" s="9">
        <v>69955</v>
      </c>
      <c r="AL8" s="9">
        <v>27258</v>
      </c>
      <c r="AM8" s="10">
        <f t="shared" si="0"/>
        <v>1332836</v>
      </c>
    </row>
    <row r="9" spans="1:39" ht="12.75">
      <c r="A9" s="8" t="s">
        <v>45</v>
      </c>
      <c r="B9" s="9"/>
      <c r="C9" s="9"/>
      <c r="D9" s="9"/>
      <c r="E9" s="9"/>
      <c r="F9" s="9"/>
      <c r="G9" s="9"/>
      <c r="H9" s="9"/>
      <c r="I9" s="9"/>
      <c r="J9" s="9">
        <v>3180</v>
      </c>
      <c r="K9" s="9"/>
      <c r="L9" s="9">
        <v>8000</v>
      </c>
      <c r="M9" s="9"/>
      <c r="N9" s="9">
        <v>8000</v>
      </c>
      <c r="O9" s="9">
        <v>8000</v>
      </c>
      <c r="P9" s="9">
        <v>8000</v>
      </c>
      <c r="Q9" s="9"/>
      <c r="R9" s="9"/>
      <c r="S9" s="9"/>
      <c r="T9" s="9"/>
      <c r="U9" s="9"/>
      <c r="V9" s="9"/>
      <c r="W9" s="9"/>
      <c r="X9" s="9">
        <v>22000</v>
      </c>
      <c r="Y9" s="9"/>
      <c r="Z9" s="9"/>
      <c r="AA9" s="9"/>
      <c r="AB9" s="9"/>
      <c r="AC9" s="9">
        <v>10000</v>
      </c>
      <c r="AD9" s="9"/>
      <c r="AE9" s="9"/>
      <c r="AF9" s="9"/>
      <c r="AG9" s="9"/>
      <c r="AH9" s="9">
        <v>1848</v>
      </c>
      <c r="AI9" s="9">
        <v>10000</v>
      </c>
      <c r="AJ9" s="9"/>
      <c r="AK9" s="9"/>
      <c r="AL9" s="9"/>
      <c r="AM9" s="10">
        <f t="shared" si="0"/>
        <v>79028</v>
      </c>
    </row>
    <row r="10" spans="1:41" ht="12.75">
      <c r="A10" s="8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9">
        <v>1000</v>
      </c>
      <c r="L10" s="9">
        <v>1000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>
        <v>1000</v>
      </c>
      <c r="AJ10" s="9"/>
      <c r="AK10" s="9"/>
      <c r="AL10" s="9"/>
      <c r="AM10" s="10">
        <f t="shared" si="0"/>
        <v>3000</v>
      </c>
      <c r="AO10" s="11"/>
    </row>
    <row r="11" spans="1:39" ht="12.75">
      <c r="A11" s="8" t="s">
        <v>47</v>
      </c>
      <c r="B11" s="9"/>
      <c r="C11" s="9"/>
      <c r="D11" s="9"/>
      <c r="E11" s="9">
        <v>23416</v>
      </c>
      <c r="F11" s="9"/>
      <c r="G11" s="9">
        <f>7732+1500</f>
        <v>9232</v>
      </c>
      <c r="H11" s="9">
        <f>12844+6800+10000</f>
        <v>29644</v>
      </c>
      <c r="I11" s="9">
        <f>17852+1500</f>
        <v>19352</v>
      </c>
      <c r="J11" s="9">
        <f>20296+3000</f>
        <v>23296</v>
      </c>
      <c r="K11" s="9">
        <v>13000</v>
      </c>
      <c r="L11" s="9">
        <v>3100</v>
      </c>
      <c r="M11" s="9">
        <f>17052+5502</f>
        <v>22554</v>
      </c>
      <c r="N11" s="9">
        <v>11932</v>
      </c>
      <c r="O11" s="9">
        <f>26976+1500</f>
        <v>28476</v>
      </c>
      <c r="P11" s="9">
        <v>20000</v>
      </c>
      <c r="Q11" s="9">
        <v>12900</v>
      </c>
      <c r="R11" s="9">
        <f>13456+5150</f>
        <v>18606</v>
      </c>
      <c r="S11" s="9">
        <v>15340</v>
      </c>
      <c r="T11" s="9"/>
      <c r="U11" s="9">
        <f>17500+2000</f>
        <v>19500</v>
      </c>
      <c r="V11" s="9">
        <v>16610</v>
      </c>
      <c r="W11" s="9">
        <f>10000+1500</f>
        <v>11500</v>
      </c>
      <c r="X11" s="9">
        <v>18000</v>
      </c>
      <c r="Y11" s="9">
        <v>13000</v>
      </c>
      <c r="Z11" s="9">
        <f>15700+2000</f>
        <v>17700</v>
      </c>
      <c r="AA11" s="9"/>
      <c r="AB11" s="9">
        <f>96136+3000</f>
        <v>99136</v>
      </c>
      <c r="AC11" s="9">
        <v>24000</v>
      </c>
      <c r="AD11" s="9">
        <f>29500+3500</f>
        <v>33000</v>
      </c>
      <c r="AE11" s="9"/>
      <c r="AF11" s="9">
        <v>15000</v>
      </c>
      <c r="AG11" s="9">
        <v>10000</v>
      </c>
      <c r="AH11" s="9">
        <v>4319</v>
      </c>
      <c r="AI11" s="9">
        <v>12420</v>
      </c>
      <c r="AJ11" s="9">
        <v>18300</v>
      </c>
      <c r="AK11" s="9">
        <v>5000</v>
      </c>
      <c r="AL11" s="9">
        <v>13000</v>
      </c>
      <c r="AM11" s="10">
        <f t="shared" si="0"/>
        <v>581333</v>
      </c>
    </row>
    <row r="12" spans="1:39" ht="12.75">
      <c r="A12" s="8" t="s">
        <v>48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>
        <v>2964</v>
      </c>
      <c r="AL12" s="9"/>
      <c r="AM12" s="10">
        <f t="shared" si="0"/>
        <v>2964</v>
      </c>
    </row>
    <row r="13" spans="1:39" ht="12.75">
      <c r="A13" s="8" t="s">
        <v>49</v>
      </c>
      <c r="B13" s="9"/>
      <c r="C13" s="9"/>
      <c r="D13" s="9"/>
      <c r="E13" s="9">
        <f>2000+3000</f>
        <v>5000</v>
      </c>
      <c r="F13" s="9"/>
      <c r="G13" s="9">
        <v>1500</v>
      </c>
      <c r="H13" s="9">
        <f>500+2000</f>
        <v>2500</v>
      </c>
      <c r="I13" s="9">
        <v>500</v>
      </c>
      <c r="J13" s="9">
        <v>4240</v>
      </c>
      <c r="K13" s="9">
        <v>1500</v>
      </c>
      <c r="L13" s="9">
        <v>1500</v>
      </c>
      <c r="M13" s="9">
        <v>2000</v>
      </c>
      <c r="N13" s="9">
        <f>5400+5000</f>
        <v>10400</v>
      </c>
      <c r="O13" s="9">
        <v>3000</v>
      </c>
      <c r="P13" s="9">
        <v>2000</v>
      </c>
      <c r="Q13" s="9">
        <v>1000</v>
      </c>
      <c r="R13" s="9">
        <v>4000</v>
      </c>
      <c r="S13" s="9">
        <v>1000</v>
      </c>
      <c r="T13" s="9"/>
      <c r="U13" s="9">
        <v>1000</v>
      </c>
      <c r="V13" s="9">
        <v>1500</v>
      </c>
      <c r="W13" s="9">
        <f>4000+4000</f>
        <v>8000</v>
      </c>
      <c r="X13" s="9">
        <v>2000</v>
      </c>
      <c r="Y13" s="9">
        <v>1300</v>
      </c>
      <c r="Z13" s="9">
        <f>3500+2000</f>
        <v>5500</v>
      </c>
      <c r="AA13" s="9"/>
      <c r="AB13" s="9">
        <f>800+1000</f>
        <v>1800</v>
      </c>
      <c r="AC13" s="9">
        <v>3000</v>
      </c>
      <c r="AD13" s="9">
        <f>1000+2000</f>
        <v>3000</v>
      </c>
      <c r="AE13" s="9"/>
      <c r="AF13" s="9">
        <v>972</v>
      </c>
      <c r="AG13" s="9">
        <v>3000</v>
      </c>
      <c r="AH13" s="9">
        <v>450</v>
      </c>
      <c r="AI13" s="9">
        <v>2000</v>
      </c>
      <c r="AJ13" s="9">
        <v>2000</v>
      </c>
      <c r="AK13" s="9">
        <v>3000</v>
      </c>
      <c r="AL13" s="9">
        <v>2000</v>
      </c>
      <c r="AM13" s="10">
        <f t="shared" si="0"/>
        <v>80662</v>
      </c>
    </row>
    <row r="14" spans="1:39" ht="12.75">
      <c r="A14" s="8" t="s">
        <v>50</v>
      </c>
      <c r="B14" s="9"/>
      <c r="C14" s="9"/>
      <c r="D14" s="9"/>
      <c r="E14" s="9">
        <v>173720</v>
      </c>
      <c r="F14" s="9"/>
      <c r="G14" s="9">
        <v>88234</v>
      </c>
      <c r="H14" s="9">
        <v>179092</v>
      </c>
      <c r="I14" s="9">
        <v>94263</v>
      </c>
      <c r="J14" s="9">
        <v>111161</v>
      </c>
      <c r="K14" s="9">
        <v>156718</v>
      </c>
      <c r="L14" s="9">
        <v>150425</v>
      </c>
      <c r="M14" s="9">
        <v>150400</v>
      </c>
      <c r="N14" s="9">
        <v>124790</v>
      </c>
      <c r="O14" s="9">
        <v>103000</v>
      </c>
      <c r="P14" s="9">
        <v>78982</v>
      </c>
      <c r="Q14" s="9">
        <v>150597</v>
      </c>
      <c r="R14" s="9">
        <v>150370</v>
      </c>
      <c r="S14" s="9">
        <v>123430</v>
      </c>
      <c r="T14" s="9"/>
      <c r="U14" s="9">
        <v>145891</v>
      </c>
      <c r="V14" s="9">
        <v>146377</v>
      </c>
      <c r="W14" s="9">
        <v>354115</v>
      </c>
      <c r="X14" s="9">
        <v>237685</v>
      </c>
      <c r="Y14" s="9">
        <v>158166</v>
      </c>
      <c r="Z14" s="9">
        <v>169803</v>
      </c>
      <c r="AA14" s="9"/>
      <c r="AB14" s="9">
        <v>15119</v>
      </c>
      <c r="AC14" s="9">
        <v>295487</v>
      </c>
      <c r="AD14" s="9">
        <v>150263</v>
      </c>
      <c r="AE14" s="9"/>
      <c r="AF14" s="9">
        <v>423853</v>
      </c>
      <c r="AG14" s="9">
        <v>160976</v>
      </c>
      <c r="AH14" s="9">
        <v>95081</v>
      </c>
      <c r="AI14" s="9">
        <v>57671</v>
      </c>
      <c r="AJ14" s="9">
        <v>197060</v>
      </c>
      <c r="AK14" s="9">
        <v>244420</v>
      </c>
      <c r="AL14" s="9">
        <v>166888</v>
      </c>
      <c r="AM14" s="10">
        <f t="shared" si="0"/>
        <v>4854037</v>
      </c>
    </row>
    <row r="15" spans="1:39" ht="12.75">
      <c r="A15" s="8" t="s">
        <v>51</v>
      </c>
      <c r="B15" s="9"/>
      <c r="C15" s="9"/>
      <c r="D15" s="9"/>
      <c r="E15" s="9">
        <f>2700+125000</f>
        <v>127700</v>
      </c>
      <c r="F15" s="9"/>
      <c r="G15" s="9"/>
      <c r="H15" s="9">
        <v>140000</v>
      </c>
      <c r="I15" s="9">
        <f>500+100000</f>
        <v>100500</v>
      </c>
      <c r="J15" s="9">
        <f>3869+80000</f>
        <v>83869</v>
      </c>
      <c r="K15" s="9">
        <f>3000+15000</f>
        <v>18000</v>
      </c>
      <c r="L15" s="9">
        <v>2000</v>
      </c>
      <c r="M15" s="9">
        <f>4000+1500+180000</f>
        <v>185500</v>
      </c>
      <c r="N15" s="9"/>
      <c r="O15" s="9">
        <f>5000+60000</f>
        <v>65000</v>
      </c>
      <c r="P15" s="9">
        <f>11000+70000</f>
        <v>81000</v>
      </c>
      <c r="Q15" s="9">
        <f>5000+400000</f>
        <v>405000</v>
      </c>
      <c r="R15" s="9">
        <v>60000</v>
      </c>
      <c r="S15" s="9">
        <f>1500+60000</f>
        <v>61500</v>
      </c>
      <c r="T15" s="9"/>
      <c r="U15" s="9">
        <v>60000</v>
      </c>
      <c r="V15" s="9">
        <f>2000+60000</f>
        <v>62000</v>
      </c>
      <c r="W15" s="9">
        <f>5000+1000+160000</f>
        <v>166000</v>
      </c>
      <c r="X15" s="9">
        <f>8000+150000</f>
        <v>158000</v>
      </c>
      <c r="Y15" s="9">
        <v>50000</v>
      </c>
      <c r="Z15" s="9">
        <f>1000+60000</f>
        <v>61000</v>
      </c>
      <c r="AA15" s="9"/>
      <c r="AB15" s="9">
        <f>2000+100000</f>
        <v>102000</v>
      </c>
      <c r="AC15" s="9">
        <f>2000+5000+120000</f>
        <v>127000</v>
      </c>
      <c r="AD15" s="9">
        <f>2000+180000</f>
        <v>182000</v>
      </c>
      <c r="AE15" s="9"/>
      <c r="AF15" s="9">
        <f>5000+80000</f>
        <v>85000</v>
      </c>
      <c r="AG15" s="9">
        <f>5000+130000</f>
        <v>135000</v>
      </c>
      <c r="AH15" s="9">
        <f>1475+90000</f>
        <v>91475</v>
      </c>
      <c r="AI15" s="9">
        <f>18000+135000</f>
        <v>153000</v>
      </c>
      <c r="AJ15" s="9">
        <f>3300+80000</f>
        <v>83300</v>
      </c>
      <c r="AK15" s="9">
        <f>6500+150000</f>
        <v>156500</v>
      </c>
      <c r="AL15" s="9">
        <v>1000</v>
      </c>
      <c r="AM15" s="10">
        <f t="shared" si="0"/>
        <v>3003344</v>
      </c>
    </row>
    <row r="16" spans="1:39" ht="12.75">
      <c r="A16" s="8" t="s">
        <v>52</v>
      </c>
      <c r="B16" s="9"/>
      <c r="C16" s="9"/>
      <c r="D16" s="9"/>
      <c r="E16" s="9">
        <v>4000</v>
      </c>
      <c r="F16" s="9"/>
      <c r="G16" s="9">
        <v>3000</v>
      </c>
      <c r="H16" s="9">
        <v>4250</v>
      </c>
      <c r="I16" s="9">
        <v>700</v>
      </c>
      <c r="J16" s="9">
        <v>1908</v>
      </c>
      <c r="K16" s="9">
        <v>3000</v>
      </c>
      <c r="L16" s="9">
        <v>1500</v>
      </c>
      <c r="M16" s="9">
        <v>2000</v>
      </c>
      <c r="N16" s="9">
        <v>1980</v>
      </c>
      <c r="O16" s="9">
        <v>4000</v>
      </c>
      <c r="P16" s="9">
        <v>1500</v>
      </c>
      <c r="Q16" s="9">
        <v>1800</v>
      </c>
      <c r="R16" s="9">
        <v>1000</v>
      </c>
      <c r="S16" s="9">
        <v>4000</v>
      </c>
      <c r="T16" s="9"/>
      <c r="U16" s="9">
        <v>4200</v>
      </c>
      <c r="V16" s="9">
        <v>2200</v>
      </c>
      <c r="W16" s="9">
        <v>2000</v>
      </c>
      <c r="X16" s="9">
        <v>10000</v>
      </c>
      <c r="Y16" s="9">
        <v>2800</v>
      </c>
      <c r="Z16" s="9">
        <v>3000</v>
      </c>
      <c r="AA16" s="9"/>
      <c r="AB16" s="9">
        <v>600</v>
      </c>
      <c r="AC16" s="9">
        <v>4500</v>
      </c>
      <c r="AD16" s="9">
        <v>1500</v>
      </c>
      <c r="AE16" s="9"/>
      <c r="AF16" s="9">
        <v>2800</v>
      </c>
      <c r="AG16" s="9">
        <v>5000</v>
      </c>
      <c r="AH16" s="9">
        <v>1100</v>
      </c>
      <c r="AI16" s="9">
        <v>2000</v>
      </c>
      <c r="AJ16" s="9">
        <v>2200</v>
      </c>
      <c r="AK16" s="9">
        <v>3500</v>
      </c>
      <c r="AL16" s="9">
        <v>3000</v>
      </c>
      <c r="AM16" s="10">
        <f t="shared" si="0"/>
        <v>85038</v>
      </c>
    </row>
    <row r="17" spans="1:39" ht="12.75">
      <c r="A17" s="8" t="s">
        <v>53</v>
      </c>
      <c r="B17" s="9"/>
      <c r="C17" s="9"/>
      <c r="D17" s="9"/>
      <c r="E17" s="9">
        <v>37600</v>
      </c>
      <c r="F17" s="9"/>
      <c r="G17" s="9">
        <v>12600</v>
      </c>
      <c r="H17" s="9">
        <v>34902</v>
      </c>
      <c r="I17" s="9">
        <v>10022</v>
      </c>
      <c r="J17" s="9">
        <v>15402</v>
      </c>
      <c r="K17" s="9">
        <v>12200</v>
      </c>
      <c r="L17" s="9">
        <v>18150</v>
      </c>
      <c r="M17" s="9">
        <v>16600</v>
      </c>
      <c r="N17" s="9">
        <v>23714</v>
      </c>
      <c r="O17" s="9">
        <v>27000</v>
      </c>
      <c r="P17" s="9">
        <v>17040</v>
      </c>
      <c r="Q17" s="9">
        <v>19000</v>
      </c>
      <c r="R17" s="9">
        <v>20000</v>
      </c>
      <c r="S17" s="9">
        <f>49659+2000</f>
        <v>51659</v>
      </c>
      <c r="T17" s="9"/>
      <c r="U17" s="9">
        <v>21500</v>
      </c>
      <c r="V17" s="9">
        <v>14600</v>
      </c>
      <c r="W17" s="9">
        <v>25150</v>
      </c>
      <c r="X17" s="9">
        <v>44500</v>
      </c>
      <c r="Y17" s="9">
        <v>19314</v>
      </c>
      <c r="Z17" s="9">
        <v>16214</v>
      </c>
      <c r="AA17" s="9"/>
      <c r="AB17" s="9">
        <v>16349</v>
      </c>
      <c r="AC17" s="9">
        <v>50100</v>
      </c>
      <c r="AD17" s="9">
        <v>38578</v>
      </c>
      <c r="AE17" s="9"/>
      <c r="AF17" s="9">
        <v>28645</v>
      </c>
      <c r="AG17" s="9">
        <v>34606</v>
      </c>
      <c r="AH17" s="9">
        <v>5627</v>
      </c>
      <c r="AI17" s="9">
        <v>14700</v>
      </c>
      <c r="AJ17" s="9">
        <v>13600</v>
      </c>
      <c r="AK17" s="9">
        <v>18700</v>
      </c>
      <c r="AL17" s="9">
        <v>16688</v>
      </c>
      <c r="AM17" s="10">
        <f t="shared" si="0"/>
        <v>694760</v>
      </c>
    </row>
    <row r="18" spans="1:39" ht="12.75">
      <c r="A18" s="8" t="s">
        <v>54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500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>
        <v>2965</v>
      </c>
      <c r="AL18" s="9"/>
      <c r="AM18" s="10">
        <f t="shared" si="0"/>
        <v>3465</v>
      </c>
    </row>
    <row r="19" spans="1:39" ht="12.75">
      <c r="A19" s="8" t="s">
        <v>55</v>
      </c>
      <c r="B19" s="9"/>
      <c r="C19" s="9"/>
      <c r="D19" s="9"/>
      <c r="E19" s="9"/>
      <c r="F19" s="9"/>
      <c r="G19" s="9">
        <v>1200</v>
      </c>
      <c r="H19" s="9">
        <v>4320</v>
      </c>
      <c r="I19" s="9">
        <v>700</v>
      </c>
      <c r="J19" s="9">
        <v>756</v>
      </c>
      <c r="K19" s="9">
        <v>1100</v>
      </c>
      <c r="L19" s="9">
        <v>500</v>
      </c>
      <c r="M19" s="9">
        <v>500</v>
      </c>
      <c r="N19" s="9">
        <v>3500</v>
      </c>
      <c r="O19" s="9">
        <v>2500</v>
      </c>
      <c r="P19" s="9">
        <v>1600</v>
      </c>
      <c r="Q19" s="9">
        <v>3400</v>
      </c>
      <c r="R19" s="9">
        <v>1030</v>
      </c>
      <c r="S19" s="9">
        <v>600</v>
      </c>
      <c r="T19" s="9"/>
      <c r="U19" s="9">
        <v>600</v>
      </c>
      <c r="V19" s="9">
        <v>1300</v>
      </c>
      <c r="W19" s="9">
        <v>2000</v>
      </c>
      <c r="X19" s="9">
        <v>500</v>
      </c>
      <c r="Y19" s="9">
        <v>800</v>
      </c>
      <c r="Z19" s="9">
        <v>1508</v>
      </c>
      <c r="AA19" s="9"/>
      <c r="AB19" s="9">
        <v>920</v>
      </c>
      <c r="AC19" s="9">
        <v>700</v>
      </c>
      <c r="AD19" s="9">
        <v>348</v>
      </c>
      <c r="AE19" s="9"/>
      <c r="AF19" s="9">
        <v>2100</v>
      </c>
      <c r="AG19" s="9">
        <v>700</v>
      </c>
      <c r="AH19" s="9"/>
      <c r="AI19" s="9">
        <v>900</v>
      </c>
      <c r="AJ19" s="9">
        <v>900</v>
      </c>
      <c r="AK19" s="9">
        <v>350</v>
      </c>
      <c r="AL19" s="9"/>
      <c r="AM19" s="10">
        <f t="shared" si="0"/>
        <v>35332</v>
      </c>
    </row>
    <row r="20" spans="1:39" ht="12.75">
      <c r="A20" s="8" t="s">
        <v>56</v>
      </c>
      <c r="B20" s="9"/>
      <c r="C20" s="9"/>
      <c r="D20" s="9"/>
      <c r="E20" s="9"/>
      <c r="F20" s="9"/>
      <c r="G20" s="9"/>
      <c r="H20" s="9">
        <v>1800</v>
      </c>
      <c r="I20" s="9"/>
      <c r="J20" s="9">
        <v>400</v>
      </c>
      <c r="K20" s="9">
        <v>800</v>
      </c>
      <c r="L20" s="9">
        <v>800</v>
      </c>
      <c r="M20" s="9">
        <v>1200</v>
      </c>
      <c r="N20" s="9">
        <v>1300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2500</v>
      </c>
      <c r="AE20" s="9"/>
      <c r="AF20" s="9"/>
      <c r="AG20" s="9"/>
      <c r="AH20" s="9"/>
      <c r="AI20" s="9"/>
      <c r="AJ20" s="9">
        <v>1058</v>
      </c>
      <c r="AK20" s="9"/>
      <c r="AL20" s="9">
        <v>1500</v>
      </c>
      <c r="AM20" s="10">
        <f t="shared" si="0"/>
        <v>11358</v>
      </c>
    </row>
    <row r="21" spans="1:39" ht="12.75">
      <c r="A21" s="8" t="s">
        <v>57</v>
      </c>
      <c r="B21" s="9"/>
      <c r="C21" s="9"/>
      <c r="D21" s="9"/>
      <c r="E21" s="9">
        <v>7000</v>
      </c>
      <c r="F21" s="9"/>
      <c r="G21" s="9">
        <v>3000</v>
      </c>
      <c r="H21" s="9">
        <v>6960</v>
      </c>
      <c r="I21" s="9">
        <v>3000</v>
      </c>
      <c r="J21" s="9">
        <v>3286</v>
      </c>
      <c r="K21" s="9">
        <v>2500</v>
      </c>
      <c r="L21" s="9">
        <v>1000</v>
      </c>
      <c r="M21" s="9">
        <v>2400</v>
      </c>
      <c r="N21" s="9">
        <v>2200</v>
      </c>
      <c r="O21" s="9">
        <v>6500</v>
      </c>
      <c r="P21" s="9">
        <v>3500</v>
      </c>
      <c r="Q21" s="9">
        <v>6000</v>
      </c>
      <c r="R21" s="9">
        <v>2500</v>
      </c>
      <c r="S21" s="9">
        <v>3800</v>
      </c>
      <c r="T21" s="9"/>
      <c r="U21" s="9">
        <v>5500</v>
      </c>
      <c r="V21" s="9">
        <v>3800</v>
      </c>
      <c r="W21" s="9">
        <v>8380</v>
      </c>
      <c r="X21" s="9">
        <v>4274</v>
      </c>
      <c r="Y21" s="9">
        <v>5100</v>
      </c>
      <c r="Z21" s="9">
        <v>4500</v>
      </c>
      <c r="AA21" s="9"/>
      <c r="AB21" s="9">
        <v>2600</v>
      </c>
      <c r="AC21" s="9">
        <v>5500</v>
      </c>
      <c r="AD21" s="9">
        <v>3000</v>
      </c>
      <c r="AE21" s="9"/>
      <c r="AF21" s="9">
        <v>3500</v>
      </c>
      <c r="AG21" s="9">
        <v>3000</v>
      </c>
      <c r="AH21" s="9">
        <v>300</v>
      </c>
      <c r="AI21" s="9">
        <v>3000</v>
      </c>
      <c r="AJ21" s="9">
        <v>3052</v>
      </c>
      <c r="AK21" s="9">
        <v>5000</v>
      </c>
      <c r="AL21" s="9">
        <v>2000</v>
      </c>
      <c r="AM21" s="10">
        <f t="shared" si="0"/>
        <v>116152</v>
      </c>
    </row>
    <row r="22" spans="1:39" ht="12.75">
      <c r="A22" s="8" t="s">
        <v>58</v>
      </c>
      <c r="B22" s="9"/>
      <c r="C22" s="9"/>
      <c r="D22" s="9"/>
      <c r="E22" s="9">
        <v>1300</v>
      </c>
      <c r="F22" s="9"/>
      <c r="G22" s="9">
        <v>500</v>
      </c>
      <c r="H22" s="9">
        <v>1500</v>
      </c>
      <c r="I22" s="9">
        <v>500</v>
      </c>
      <c r="J22" s="9"/>
      <c r="K22" s="9">
        <v>800</v>
      </c>
      <c r="L22" s="9">
        <v>652</v>
      </c>
      <c r="M22" s="9">
        <v>1800</v>
      </c>
      <c r="N22" s="9">
        <v>350</v>
      </c>
      <c r="O22" s="9">
        <v>100</v>
      </c>
      <c r="P22" s="9">
        <v>1000</v>
      </c>
      <c r="Q22" s="9">
        <v>400</v>
      </c>
      <c r="R22" s="9">
        <v>300</v>
      </c>
      <c r="S22" s="9"/>
      <c r="T22" s="9"/>
      <c r="U22" s="9">
        <v>500</v>
      </c>
      <c r="V22" s="9">
        <v>660</v>
      </c>
      <c r="W22" s="9">
        <v>2500</v>
      </c>
      <c r="X22" s="9">
        <v>500</v>
      </c>
      <c r="Y22" s="9">
        <v>100</v>
      </c>
      <c r="Z22" s="9">
        <v>300</v>
      </c>
      <c r="AA22" s="9"/>
      <c r="AB22" s="9"/>
      <c r="AC22" s="9">
        <v>1500</v>
      </c>
      <c r="AD22" s="9">
        <v>1000</v>
      </c>
      <c r="AE22" s="9"/>
      <c r="AF22" s="9"/>
      <c r="AG22" s="9">
        <v>750</v>
      </c>
      <c r="AH22" s="9">
        <v>300</v>
      </c>
      <c r="AI22" s="9">
        <v>1500</v>
      </c>
      <c r="AJ22" s="9">
        <v>300</v>
      </c>
      <c r="AK22" s="9">
        <v>650</v>
      </c>
      <c r="AL22" s="9"/>
      <c r="AM22" s="10">
        <f t="shared" si="0"/>
        <v>19762</v>
      </c>
    </row>
    <row r="23" spans="1:39" ht="12.75">
      <c r="A23" s="8" t="s">
        <v>59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7868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>
        <v>9883</v>
      </c>
      <c r="AL23" s="9"/>
      <c r="AM23" s="10">
        <f t="shared" si="0"/>
        <v>17751</v>
      </c>
    </row>
    <row r="24" spans="1:39" ht="12.75">
      <c r="A24" s="8" t="s">
        <v>60</v>
      </c>
      <c r="B24" s="9"/>
      <c r="C24" s="9"/>
      <c r="D24" s="9"/>
      <c r="E24" s="9"/>
      <c r="F24" s="9"/>
      <c r="G24" s="9"/>
      <c r="H24" s="9">
        <v>1500</v>
      </c>
      <c r="I24" s="9">
        <v>2000</v>
      </c>
      <c r="J24" s="9">
        <v>1855</v>
      </c>
      <c r="K24" s="9">
        <v>1200</v>
      </c>
      <c r="L24" s="9">
        <v>1000</v>
      </c>
      <c r="M24" s="9">
        <v>4500</v>
      </c>
      <c r="N24" s="9"/>
      <c r="O24" s="9">
        <v>2500</v>
      </c>
      <c r="P24" s="9"/>
      <c r="Q24" s="9">
        <v>700</v>
      </c>
      <c r="R24" s="9"/>
      <c r="S24" s="9"/>
      <c r="T24" s="9"/>
      <c r="U24" s="9"/>
      <c r="V24" s="9">
        <v>650</v>
      </c>
      <c r="W24" s="9"/>
      <c r="X24" s="9">
        <v>3500</v>
      </c>
      <c r="Y24" s="9"/>
      <c r="Z24" s="9"/>
      <c r="AA24" s="9"/>
      <c r="AB24" s="9"/>
      <c r="AC24" s="9">
        <v>2000</v>
      </c>
      <c r="AD24" s="9"/>
      <c r="AE24" s="9"/>
      <c r="AF24" s="9"/>
      <c r="AG24" s="9">
        <v>2500</v>
      </c>
      <c r="AH24" s="9"/>
      <c r="AI24" s="9"/>
      <c r="AJ24" s="9">
        <v>1600</v>
      </c>
      <c r="AK24" s="9">
        <v>1346</v>
      </c>
      <c r="AL24" s="9">
        <v>4300</v>
      </c>
      <c r="AM24" s="10">
        <f t="shared" si="0"/>
        <v>31151</v>
      </c>
    </row>
    <row r="25" spans="1:39" ht="12.75">
      <c r="A25" s="8" t="s">
        <v>61</v>
      </c>
      <c r="B25" s="9"/>
      <c r="C25" s="9"/>
      <c r="D25" s="9"/>
      <c r="E25" s="9">
        <v>136557</v>
      </c>
      <c r="F25" s="9"/>
      <c r="G25" s="9">
        <v>71338</v>
      </c>
      <c r="H25" s="9">
        <v>158385</v>
      </c>
      <c r="I25" s="9">
        <v>52618</v>
      </c>
      <c r="J25" s="9">
        <v>102634</v>
      </c>
      <c r="K25" s="9">
        <v>86383</v>
      </c>
      <c r="L25" s="9">
        <v>52126</v>
      </c>
      <c r="M25" s="9">
        <v>92543</v>
      </c>
      <c r="N25" s="9">
        <v>93747</v>
      </c>
      <c r="O25" s="9">
        <v>144486</v>
      </c>
      <c r="P25" s="9">
        <v>97062</v>
      </c>
      <c r="Q25" s="9">
        <v>103163</v>
      </c>
      <c r="R25" s="9">
        <v>67481</v>
      </c>
      <c r="S25" s="9">
        <v>74800</v>
      </c>
      <c r="T25" s="9"/>
      <c r="U25" s="9">
        <v>108400</v>
      </c>
      <c r="V25" s="9">
        <v>90315</v>
      </c>
      <c r="W25" s="9">
        <v>144567</v>
      </c>
      <c r="X25" s="9">
        <v>134845</v>
      </c>
      <c r="Y25" s="9">
        <v>102054</v>
      </c>
      <c r="Z25" s="9">
        <v>106640</v>
      </c>
      <c r="AA25" s="9"/>
      <c r="AB25" s="9">
        <v>38264</v>
      </c>
      <c r="AC25" s="9">
        <v>134407</v>
      </c>
      <c r="AD25" s="9">
        <v>154520</v>
      </c>
      <c r="AE25" s="9"/>
      <c r="AF25" s="9">
        <v>94434</v>
      </c>
      <c r="AG25" s="9">
        <v>97423</v>
      </c>
      <c r="AH25" s="9">
        <v>36699</v>
      </c>
      <c r="AI25" s="9">
        <v>59443</v>
      </c>
      <c r="AJ25" s="9">
        <v>102795</v>
      </c>
      <c r="AK25" s="9">
        <v>157413</v>
      </c>
      <c r="AL25" s="9">
        <v>61334</v>
      </c>
      <c r="AM25" s="10">
        <f t="shared" si="0"/>
        <v>2956876</v>
      </c>
    </row>
    <row r="26" spans="1:39" ht="12.75">
      <c r="A26" s="8" t="s">
        <v>62</v>
      </c>
      <c r="B26" s="9"/>
      <c r="C26" s="9"/>
      <c r="D26" s="9"/>
      <c r="E26" s="9"/>
      <c r="F26" s="9"/>
      <c r="G26" s="9"/>
      <c r="H26" s="9"/>
      <c r="I26" s="9">
        <v>1500</v>
      </c>
      <c r="J26" s="9">
        <v>500</v>
      </c>
      <c r="K26" s="9"/>
      <c r="L26" s="9">
        <v>1000</v>
      </c>
      <c r="M26" s="9"/>
      <c r="N26" s="9">
        <v>500</v>
      </c>
      <c r="O26" s="9"/>
      <c r="P26" s="9">
        <v>1000</v>
      </c>
      <c r="Q26" s="9">
        <v>400</v>
      </c>
      <c r="R26" s="9"/>
      <c r="S26" s="9"/>
      <c r="T26" s="9"/>
      <c r="U26" s="9"/>
      <c r="V26" s="9"/>
      <c r="W26" s="9"/>
      <c r="X26" s="9"/>
      <c r="Y26" s="9">
        <v>1000</v>
      </c>
      <c r="Z26" s="9">
        <v>500</v>
      </c>
      <c r="AA26" s="9"/>
      <c r="AB26" s="9">
        <v>300</v>
      </c>
      <c r="AC26" s="9">
        <v>1500</v>
      </c>
      <c r="AD26" s="9">
        <v>500</v>
      </c>
      <c r="AE26" s="9"/>
      <c r="AF26" s="9"/>
      <c r="AG26" s="9">
        <v>2000</v>
      </c>
      <c r="AH26" s="9">
        <v>100</v>
      </c>
      <c r="AI26" s="9">
        <v>1000</v>
      </c>
      <c r="AJ26" s="9"/>
      <c r="AK26" s="9"/>
      <c r="AL26" s="9"/>
      <c r="AM26" s="10">
        <f t="shared" si="0"/>
        <v>11800</v>
      </c>
    </row>
    <row r="27" spans="1:39" ht="12.75">
      <c r="A27" s="8" t="s">
        <v>63</v>
      </c>
      <c r="B27" s="9"/>
      <c r="C27" s="9"/>
      <c r="D27" s="9"/>
      <c r="E27" s="9"/>
      <c r="F27" s="9"/>
      <c r="G27" s="9">
        <v>2500</v>
      </c>
      <c r="H27" s="9">
        <v>600</v>
      </c>
      <c r="I27" s="9">
        <v>100</v>
      </c>
      <c r="J27" s="9">
        <v>1325</v>
      </c>
      <c r="K27" s="9">
        <v>1000</v>
      </c>
      <c r="L27" s="9">
        <v>2000</v>
      </c>
      <c r="M27" s="9"/>
      <c r="N27" s="9">
        <v>1000</v>
      </c>
      <c r="O27" s="9">
        <v>3500</v>
      </c>
      <c r="P27" s="9">
        <v>1000</v>
      </c>
      <c r="Q27" s="9">
        <v>1000</v>
      </c>
      <c r="R27" s="9"/>
      <c r="S27" s="9">
        <v>500</v>
      </c>
      <c r="T27" s="9"/>
      <c r="U27" s="9">
        <v>500</v>
      </c>
      <c r="V27" s="9">
        <v>1300</v>
      </c>
      <c r="W27" s="9">
        <v>1500</v>
      </c>
      <c r="X27" s="9">
        <v>3000</v>
      </c>
      <c r="Y27" s="9">
        <v>2040</v>
      </c>
      <c r="Z27" s="9">
        <v>1000</v>
      </c>
      <c r="AA27" s="9"/>
      <c r="AB27" s="9">
        <v>300</v>
      </c>
      <c r="AC27" s="9">
        <v>2000</v>
      </c>
      <c r="AD27" s="9">
        <v>1500</v>
      </c>
      <c r="AE27" s="9"/>
      <c r="AF27" s="9">
        <v>2000</v>
      </c>
      <c r="AG27" s="9">
        <v>1500</v>
      </c>
      <c r="AH27" s="9">
        <v>293</v>
      </c>
      <c r="AI27" s="9">
        <v>2160</v>
      </c>
      <c r="AJ27" s="9">
        <v>1200</v>
      </c>
      <c r="AK27" s="9">
        <v>150</v>
      </c>
      <c r="AL27" s="9">
        <v>600</v>
      </c>
      <c r="AM27" s="10">
        <f t="shared" si="0"/>
        <v>35568</v>
      </c>
    </row>
    <row r="28" spans="1:39" ht="12.75">
      <c r="A28" s="8" t="s">
        <v>64</v>
      </c>
      <c r="B28" s="9"/>
      <c r="C28" s="9"/>
      <c r="D28" s="9"/>
      <c r="E28" s="9"/>
      <c r="F28" s="9"/>
      <c r="G28" s="9">
        <v>2000</v>
      </c>
      <c r="H28" s="9"/>
      <c r="I28" s="9">
        <v>200</v>
      </c>
      <c r="J28" s="9">
        <v>3710</v>
      </c>
      <c r="K28" s="9">
        <v>1000</v>
      </c>
      <c r="L28" s="9">
        <v>2200</v>
      </c>
      <c r="M28" s="9"/>
      <c r="N28" s="9">
        <v>3500</v>
      </c>
      <c r="O28" s="9">
        <v>2500</v>
      </c>
      <c r="P28" s="9">
        <v>3000</v>
      </c>
      <c r="Q28" s="9">
        <v>3500</v>
      </c>
      <c r="R28" s="9"/>
      <c r="S28" s="9">
        <v>1500</v>
      </c>
      <c r="T28" s="9"/>
      <c r="U28" s="9"/>
      <c r="V28" s="9"/>
      <c r="W28" s="9">
        <v>1500</v>
      </c>
      <c r="X28" s="9">
        <v>3500</v>
      </c>
      <c r="Y28" s="9">
        <v>1800</v>
      </c>
      <c r="Z28" s="9">
        <v>3000</v>
      </c>
      <c r="AA28" s="9"/>
      <c r="AB28" s="9">
        <v>1200</v>
      </c>
      <c r="AC28" s="9">
        <v>5800</v>
      </c>
      <c r="AD28" s="9">
        <v>600</v>
      </c>
      <c r="AE28" s="9"/>
      <c r="AF28" s="9">
        <v>1000</v>
      </c>
      <c r="AG28" s="9">
        <v>2000</v>
      </c>
      <c r="AH28" s="9"/>
      <c r="AI28" s="9">
        <v>3500</v>
      </c>
      <c r="AJ28" s="9">
        <v>1500</v>
      </c>
      <c r="AK28" s="9">
        <v>1000</v>
      </c>
      <c r="AL28" s="9">
        <v>1700</v>
      </c>
      <c r="AM28" s="10">
        <f t="shared" si="0"/>
        <v>51210</v>
      </c>
    </row>
    <row r="29" spans="1:39" ht="12.75" hidden="1">
      <c r="A29" s="8" t="s">
        <v>65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0">
        <f t="shared" si="0"/>
        <v>0</v>
      </c>
    </row>
    <row r="30" spans="1:39" ht="12" customHeight="1">
      <c r="A30" s="8" t="s">
        <v>66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v>15000</v>
      </c>
      <c r="AH30" s="9"/>
      <c r="AI30" s="9"/>
      <c r="AJ30" s="9"/>
      <c r="AK30" s="9"/>
      <c r="AL30" s="9"/>
      <c r="AM30" s="10">
        <f t="shared" si="0"/>
        <v>15000</v>
      </c>
    </row>
    <row r="31" spans="1:39" ht="12" customHeight="1">
      <c r="A31" s="8" t="s">
        <v>67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>
        <v>6000</v>
      </c>
      <c r="AG31" s="9"/>
      <c r="AH31" s="9"/>
      <c r="AI31" s="9"/>
      <c r="AJ31" s="9"/>
      <c r="AK31" s="9"/>
      <c r="AL31" s="9"/>
      <c r="AM31" s="10">
        <f t="shared" si="0"/>
        <v>6000</v>
      </c>
    </row>
    <row r="32" spans="1:39" s="11" customFormat="1" ht="12" customHeight="1">
      <c r="A32" s="8" t="s">
        <v>68</v>
      </c>
      <c r="B32" s="10">
        <f aca="true" t="shared" si="1" ref="B32:AL32">SUM(B4:B31)</f>
        <v>0</v>
      </c>
      <c r="C32" s="10">
        <f t="shared" si="1"/>
        <v>0</v>
      </c>
      <c r="D32" s="10">
        <f t="shared" si="1"/>
        <v>0</v>
      </c>
      <c r="E32" s="10">
        <f t="shared" si="1"/>
        <v>3472267</v>
      </c>
      <c r="F32" s="10">
        <f t="shared" si="1"/>
        <v>0</v>
      </c>
      <c r="G32" s="10">
        <f t="shared" si="1"/>
        <v>1587922</v>
      </c>
      <c r="H32" s="10">
        <f t="shared" si="1"/>
        <v>4055680</v>
      </c>
      <c r="I32" s="10">
        <f t="shared" si="1"/>
        <v>1408654</v>
      </c>
      <c r="J32" s="10">
        <f t="shared" si="1"/>
        <v>2453661</v>
      </c>
      <c r="K32" s="10">
        <f t="shared" si="1"/>
        <v>2079257</v>
      </c>
      <c r="L32" s="10">
        <f t="shared" si="1"/>
        <v>1236118</v>
      </c>
      <c r="M32" s="10">
        <f t="shared" si="1"/>
        <v>2649195</v>
      </c>
      <c r="N32" s="10">
        <f t="shared" si="1"/>
        <v>2363525</v>
      </c>
      <c r="O32" s="10">
        <f t="shared" si="1"/>
        <v>3855602</v>
      </c>
      <c r="P32" s="10">
        <f t="shared" si="1"/>
        <v>2444633</v>
      </c>
      <c r="Q32" s="10">
        <f t="shared" si="1"/>
        <v>2742238</v>
      </c>
      <c r="R32" s="10">
        <f t="shared" si="1"/>
        <v>1835607</v>
      </c>
      <c r="S32" s="10">
        <f t="shared" si="1"/>
        <v>1997021</v>
      </c>
      <c r="T32" s="10">
        <f t="shared" si="1"/>
        <v>0</v>
      </c>
      <c r="U32" s="10">
        <f t="shared" si="1"/>
        <v>2738850</v>
      </c>
      <c r="V32" s="10">
        <f t="shared" si="1"/>
        <v>2329472</v>
      </c>
      <c r="W32" s="10">
        <f t="shared" si="1"/>
        <v>3671275</v>
      </c>
      <c r="X32" s="10">
        <f t="shared" si="1"/>
        <v>3504572</v>
      </c>
      <c r="Y32" s="10">
        <f t="shared" si="1"/>
        <v>2559994</v>
      </c>
      <c r="Z32" s="10">
        <f t="shared" si="1"/>
        <v>2620013</v>
      </c>
      <c r="AA32" s="10">
        <f t="shared" si="1"/>
        <v>0</v>
      </c>
      <c r="AB32" s="10">
        <f t="shared" si="1"/>
        <v>1177584</v>
      </c>
      <c r="AC32" s="10">
        <f t="shared" si="1"/>
        <v>3867810</v>
      </c>
      <c r="AD32" s="10">
        <f t="shared" si="1"/>
        <v>3933432</v>
      </c>
      <c r="AE32" s="10">
        <f t="shared" si="1"/>
        <v>0</v>
      </c>
      <c r="AF32" s="10">
        <f t="shared" si="1"/>
        <v>2615358</v>
      </c>
      <c r="AG32" s="10">
        <f t="shared" si="1"/>
        <v>2642128</v>
      </c>
      <c r="AH32" s="10">
        <f t="shared" si="1"/>
        <v>1035064</v>
      </c>
      <c r="AI32" s="10">
        <f t="shared" si="1"/>
        <v>1704471</v>
      </c>
      <c r="AJ32" s="10">
        <f t="shared" si="1"/>
        <v>2671347</v>
      </c>
      <c r="AK32" s="10">
        <f t="shared" si="1"/>
        <v>3958892</v>
      </c>
      <c r="AL32" s="10">
        <f t="shared" si="1"/>
        <v>1585384</v>
      </c>
      <c r="AM32" s="10">
        <f t="shared" si="0"/>
        <v>76797026</v>
      </c>
    </row>
    <row r="33" spans="1:39" ht="12" customHeight="1">
      <c r="A33" s="8" t="s">
        <v>40</v>
      </c>
      <c r="B33" s="9"/>
      <c r="C33" s="9"/>
      <c r="D33" s="9"/>
      <c r="E33" s="9">
        <v>126</v>
      </c>
      <c r="F33" s="9"/>
      <c r="G33" s="9">
        <v>93</v>
      </c>
      <c r="H33" s="9">
        <v>651</v>
      </c>
      <c r="I33" s="9">
        <v>126</v>
      </c>
      <c r="J33" s="9">
        <v>107</v>
      </c>
      <c r="K33" s="9">
        <v>206</v>
      </c>
      <c r="L33" s="9"/>
      <c r="M33" s="9">
        <v>188</v>
      </c>
      <c r="N33" s="9">
        <v>209</v>
      </c>
      <c r="O33" s="9"/>
      <c r="P33" s="9"/>
      <c r="Q33" s="9">
        <v>93</v>
      </c>
      <c r="R33" s="9">
        <v>214</v>
      </c>
      <c r="S33" s="9">
        <v>126</v>
      </c>
      <c r="T33" s="9"/>
      <c r="U33" s="9"/>
      <c r="V33" s="9">
        <v>488</v>
      </c>
      <c r="W33" s="9">
        <v>282</v>
      </c>
      <c r="X33" s="9"/>
      <c r="Y33" s="9">
        <v>186</v>
      </c>
      <c r="Z33" s="9">
        <v>242</v>
      </c>
      <c r="AA33" s="9"/>
      <c r="AB33" s="9">
        <v>294</v>
      </c>
      <c r="AC33" s="9"/>
      <c r="AD33" s="9">
        <v>380</v>
      </c>
      <c r="AE33" s="9"/>
      <c r="AF33" s="9">
        <v>201</v>
      </c>
      <c r="AG33" s="9">
        <v>651</v>
      </c>
      <c r="AH33" s="9"/>
      <c r="AI33" s="9">
        <v>259</v>
      </c>
      <c r="AJ33" s="9">
        <v>295</v>
      </c>
      <c r="AK33" s="9">
        <v>465</v>
      </c>
      <c r="AL33" s="9">
        <v>126</v>
      </c>
      <c r="AM33" s="10">
        <f t="shared" si="0"/>
        <v>6008</v>
      </c>
    </row>
    <row r="34" spans="1:39" ht="12" customHeight="1">
      <c r="A34" s="8" t="s">
        <v>41</v>
      </c>
      <c r="B34" s="9"/>
      <c r="C34" s="9"/>
      <c r="D34" s="9"/>
      <c r="E34" s="9">
        <v>43485</v>
      </c>
      <c r="F34" s="9"/>
      <c r="G34" s="9">
        <v>33643</v>
      </c>
      <c r="H34" s="9">
        <v>182770</v>
      </c>
      <c r="I34" s="9">
        <v>45225</v>
      </c>
      <c r="J34" s="9">
        <v>39176</v>
      </c>
      <c r="K34" s="9">
        <v>74182</v>
      </c>
      <c r="L34" s="9"/>
      <c r="M34" s="9">
        <v>65374</v>
      </c>
      <c r="N34" s="9">
        <v>72242</v>
      </c>
      <c r="O34" s="9"/>
      <c r="P34" s="9"/>
      <c r="Q34" s="9">
        <v>30472</v>
      </c>
      <c r="R34" s="9">
        <v>76250</v>
      </c>
      <c r="S34" s="9">
        <v>42030</v>
      </c>
      <c r="T34" s="9"/>
      <c r="U34" s="9"/>
      <c r="V34" s="9">
        <v>109380</v>
      </c>
      <c r="W34" s="9">
        <v>101876</v>
      </c>
      <c r="X34" s="9"/>
      <c r="Y34" s="9">
        <v>55699</v>
      </c>
      <c r="Z34" s="9">
        <v>86452</v>
      </c>
      <c r="AA34" s="9"/>
      <c r="AB34" s="9">
        <v>76565</v>
      </c>
      <c r="AC34" s="9"/>
      <c r="AD34" s="9">
        <v>119298</v>
      </c>
      <c r="AE34" s="9"/>
      <c r="AF34" s="9">
        <v>74610</v>
      </c>
      <c r="AG34" s="9">
        <v>89123</v>
      </c>
      <c r="AH34" s="9"/>
      <c r="AI34" s="9">
        <v>91096</v>
      </c>
      <c r="AJ34" s="9">
        <v>100575</v>
      </c>
      <c r="AK34" s="9">
        <v>169041</v>
      </c>
      <c r="AL34" s="9">
        <v>40271</v>
      </c>
      <c r="AM34" s="10">
        <f t="shared" si="0"/>
        <v>1818835</v>
      </c>
    </row>
    <row r="35" spans="1:39" ht="12" customHeight="1">
      <c r="A35" s="8" t="s">
        <v>42</v>
      </c>
      <c r="B35" s="9"/>
      <c r="C35" s="9"/>
      <c r="D35" s="9"/>
      <c r="E35" s="9">
        <v>1182</v>
      </c>
      <c r="F35" s="9"/>
      <c r="G35" s="9">
        <v>1182</v>
      </c>
      <c r="H35" s="9">
        <v>14985</v>
      </c>
      <c r="I35" s="9">
        <v>6993</v>
      </c>
      <c r="J35" s="9">
        <v>5564</v>
      </c>
      <c r="K35" s="9">
        <v>4256</v>
      </c>
      <c r="L35" s="9"/>
      <c r="M35" s="9">
        <v>3130</v>
      </c>
      <c r="N35" s="9">
        <v>5850</v>
      </c>
      <c r="O35" s="9"/>
      <c r="P35" s="9"/>
      <c r="Q35" s="9">
        <v>2766</v>
      </c>
      <c r="R35" s="9">
        <v>4216</v>
      </c>
      <c r="S35" s="9">
        <v>1696</v>
      </c>
      <c r="T35" s="9"/>
      <c r="U35" s="9"/>
      <c r="V35" s="9">
        <v>7548</v>
      </c>
      <c r="W35" s="9">
        <v>9066</v>
      </c>
      <c r="X35" s="9"/>
      <c r="Y35" s="9">
        <v>6448</v>
      </c>
      <c r="Z35" s="9">
        <v>8055</v>
      </c>
      <c r="AA35" s="9"/>
      <c r="AB35" s="9">
        <v>4457</v>
      </c>
      <c r="AC35" s="9"/>
      <c r="AD35" s="9">
        <v>12326</v>
      </c>
      <c r="AE35" s="9"/>
      <c r="AF35" s="9">
        <v>6014</v>
      </c>
      <c r="AG35" s="9">
        <v>6990</v>
      </c>
      <c r="AH35" s="9"/>
      <c r="AI35" s="9">
        <v>10305</v>
      </c>
      <c r="AJ35" s="9">
        <v>6372</v>
      </c>
      <c r="AK35" s="9">
        <v>11849</v>
      </c>
      <c r="AL35" s="9">
        <v>6169</v>
      </c>
      <c r="AM35" s="10">
        <f t="shared" si="0"/>
        <v>147419</v>
      </c>
    </row>
    <row r="36" spans="1:39" ht="12.75">
      <c r="A36" s="8" t="s">
        <v>43</v>
      </c>
      <c r="B36" s="9"/>
      <c r="C36" s="9"/>
      <c r="D36" s="9"/>
      <c r="E36" s="9">
        <v>6984</v>
      </c>
      <c r="F36" s="9"/>
      <c r="G36" s="9">
        <v>5363</v>
      </c>
      <c r="H36" s="9">
        <v>31277</v>
      </c>
      <c r="I36" s="9">
        <v>8120</v>
      </c>
      <c r="J36" s="9">
        <v>6960</v>
      </c>
      <c r="K36" s="9">
        <v>12224</v>
      </c>
      <c r="L36" s="9"/>
      <c r="M36" s="9">
        <v>10673</v>
      </c>
      <c r="N36" s="9">
        <v>15458</v>
      </c>
      <c r="O36" s="9"/>
      <c r="P36" s="9"/>
      <c r="Q36" s="9">
        <v>5179</v>
      </c>
      <c r="R36" s="9">
        <v>12531</v>
      </c>
      <c r="S36" s="9">
        <v>6816</v>
      </c>
      <c r="T36" s="9"/>
      <c r="U36" s="9"/>
      <c r="V36" s="9">
        <v>18251</v>
      </c>
      <c r="W36" s="9">
        <v>17331</v>
      </c>
      <c r="X36" s="9"/>
      <c r="Y36" s="9">
        <v>13043</v>
      </c>
      <c r="Z36" s="9">
        <v>14782</v>
      </c>
      <c r="AA36" s="9"/>
      <c r="AB36" s="9">
        <v>12619</v>
      </c>
      <c r="AC36" s="9"/>
      <c r="AD36" s="9">
        <v>21336</v>
      </c>
      <c r="AE36" s="9"/>
      <c r="AF36" s="9">
        <v>12606</v>
      </c>
      <c r="AG36" s="9">
        <v>14965</v>
      </c>
      <c r="AH36" s="9"/>
      <c r="AI36" s="9">
        <v>15787</v>
      </c>
      <c r="AJ36" s="9">
        <v>20013</v>
      </c>
      <c r="AK36" s="9">
        <v>28185</v>
      </c>
      <c r="AL36" s="9">
        <v>7234</v>
      </c>
      <c r="AM36" s="10">
        <f aca="true" t="shared" si="2" ref="AM36:AM67">SUM(B36:AL36)</f>
        <v>317737</v>
      </c>
    </row>
    <row r="37" spans="1:39" ht="12.75">
      <c r="A37" s="8" t="s">
        <v>44</v>
      </c>
      <c r="B37" s="9"/>
      <c r="C37" s="9"/>
      <c r="D37" s="9"/>
      <c r="E37" s="9">
        <v>1111</v>
      </c>
      <c r="F37" s="9"/>
      <c r="G37" s="9">
        <v>853</v>
      </c>
      <c r="H37" s="9">
        <v>4976</v>
      </c>
      <c r="I37" s="9">
        <v>1292</v>
      </c>
      <c r="J37" s="9">
        <v>1107</v>
      </c>
      <c r="K37" s="9">
        <v>1945</v>
      </c>
      <c r="L37" s="9"/>
      <c r="M37" s="9">
        <v>1698</v>
      </c>
      <c r="N37" s="9">
        <v>2459</v>
      </c>
      <c r="O37" s="9"/>
      <c r="P37" s="9"/>
      <c r="Q37" s="9">
        <v>824</v>
      </c>
      <c r="R37" s="9">
        <v>1994</v>
      </c>
      <c r="S37" s="9">
        <v>1084</v>
      </c>
      <c r="T37" s="9"/>
      <c r="U37" s="9"/>
      <c r="V37" s="9">
        <v>2904</v>
      </c>
      <c r="W37" s="9">
        <v>2757</v>
      </c>
      <c r="X37" s="9"/>
      <c r="Y37" s="9">
        <v>2075</v>
      </c>
      <c r="Z37" s="9">
        <v>2352</v>
      </c>
      <c r="AA37" s="9"/>
      <c r="AB37" s="9">
        <v>2008</v>
      </c>
      <c r="AC37" s="9"/>
      <c r="AD37" s="9">
        <v>3394</v>
      </c>
      <c r="AE37" s="9"/>
      <c r="AF37" s="9">
        <v>2006</v>
      </c>
      <c r="AG37" s="9">
        <v>2381</v>
      </c>
      <c r="AH37" s="9"/>
      <c r="AI37" s="9">
        <v>2512</v>
      </c>
      <c r="AJ37" s="9">
        <v>3184</v>
      </c>
      <c r="AK37" s="9">
        <v>4484</v>
      </c>
      <c r="AL37" s="9">
        <v>1151</v>
      </c>
      <c r="AM37" s="10">
        <f t="shared" si="2"/>
        <v>50551</v>
      </c>
    </row>
    <row r="38" spans="1:39" ht="12.75">
      <c r="A38" s="8" t="s">
        <v>47</v>
      </c>
      <c r="B38" s="9"/>
      <c r="C38" s="9"/>
      <c r="D38" s="9"/>
      <c r="E38" s="9">
        <v>1500</v>
      </c>
      <c r="F38" s="9"/>
      <c r="G38" s="9">
        <v>1000</v>
      </c>
      <c r="H38" s="9">
        <v>3300</v>
      </c>
      <c r="I38" s="9">
        <v>3000</v>
      </c>
      <c r="J38" s="9">
        <v>2700</v>
      </c>
      <c r="K38" s="9">
        <v>4200</v>
      </c>
      <c r="L38" s="9"/>
      <c r="M38" s="9">
        <v>2000</v>
      </c>
      <c r="N38" s="9">
        <v>2420</v>
      </c>
      <c r="O38" s="9"/>
      <c r="P38" s="9"/>
      <c r="Q38" s="9">
        <v>1625</v>
      </c>
      <c r="R38" s="9">
        <v>3286</v>
      </c>
      <c r="S38" s="9">
        <v>1690</v>
      </c>
      <c r="T38" s="9"/>
      <c r="U38" s="9"/>
      <c r="V38" s="9">
        <v>2272</v>
      </c>
      <c r="W38" s="9">
        <v>2372</v>
      </c>
      <c r="X38" s="9"/>
      <c r="Y38" s="9">
        <v>2500</v>
      </c>
      <c r="Z38" s="9">
        <v>3000</v>
      </c>
      <c r="AA38" s="9"/>
      <c r="AB38" s="9">
        <v>2690</v>
      </c>
      <c r="AC38" s="9"/>
      <c r="AD38" s="9">
        <v>4159</v>
      </c>
      <c r="AE38" s="9"/>
      <c r="AF38" s="9">
        <v>1460</v>
      </c>
      <c r="AG38" s="9">
        <v>2440</v>
      </c>
      <c r="AH38" s="9"/>
      <c r="AI38" s="9">
        <v>5540</v>
      </c>
      <c r="AJ38" s="9">
        <v>4400</v>
      </c>
      <c r="AK38" s="9">
        <v>5250</v>
      </c>
      <c r="AL38" s="9">
        <v>1268</v>
      </c>
      <c r="AM38" s="10">
        <f t="shared" si="2"/>
        <v>64072</v>
      </c>
    </row>
    <row r="39" spans="1:39" ht="12.75">
      <c r="A39" s="8" t="s">
        <v>49</v>
      </c>
      <c r="B39" s="9"/>
      <c r="C39" s="9"/>
      <c r="D39" s="9"/>
      <c r="E39" s="9">
        <v>1000</v>
      </c>
      <c r="F39" s="9"/>
      <c r="G39" s="9"/>
      <c r="H39" s="9">
        <v>600</v>
      </c>
      <c r="I39" s="9"/>
      <c r="J39" s="9"/>
      <c r="K39" s="9">
        <v>800</v>
      </c>
      <c r="L39" s="9"/>
      <c r="M39" s="9">
        <v>2000</v>
      </c>
      <c r="N39" s="9">
        <v>1412</v>
      </c>
      <c r="O39" s="9"/>
      <c r="P39" s="9"/>
      <c r="Q39" s="9">
        <v>964</v>
      </c>
      <c r="R39" s="9">
        <v>2000</v>
      </c>
      <c r="S39" s="9">
        <v>500</v>
      </c>
      <c r="T39" s="9"/>
      <c r="U39" s="9"/>
      <c r="V39" s="9">
        <v>500</v>
      </c>
      <c r="W39" s="9">
        <v>2000</v>
      </c>
      <c r="X39" s="9"/>
      <c r="Y39" s="9">
        <v>500</v>
      </c>
      <c r="Z39" s="9">
        <v>1500</v>
      </c>
      <c r="AA39" s="9"/>
      <c r="AB39" s="9">
        <v>450</v>
      </c>
      <c r="AC39" s="9"/>
      <c r="AD39" s="9">
        <v>200</v>
      </c>
      <c r="AE39" s="9"/>
      <c r="AF39" s="9">
        <v>1000</v>
      </c>
      <c r="AG39" s="9">
        <v>500</v>
      </c>
      <c r="AH39" s="9"/>
      <c r="AI39" s="9">
        <v>1000</v>
      </c>
      <c r="AJ39" s="9">
        <v>1000</v>
      </c>
      <c r="AK39" s="9">
        <v>1500</v>
      </c>
      <c r="AL39" s="9">
        <v>600</v>
      </c>
      <c r="AM39" s="10">
        <f t="shared" si="2"/>
        <v>20026</v>
      </c>
    </row>
    <row r="40" spans="1:39" ht="12.75">
      <c r="A40" s="8" t="s">
        <v>50</v>
      </c>
      <c r="B40" s="9"/>
      <c r="C40" s="9"/>
      <c r="D40" s="9"/>
      <c r="E40" s="9">
        <v>3830</v>
      </c>
      <c r="F40" s="9"/>
      <c r="G40" s="9"/>
      <c r="H40" s="9">
        <v>36852</v>
      </c>
      <c r="I40" s="9"/>
      <c r="J40" s="9">
        <v>4730</v>
      </c>
      <c r="K40" s="9">
        <v>4909</v>
      </c>
      <c r="L40" s="9"/>
      <c r="M40" s="9">
        <v>3150</v>
      </c>
      <c r="N40" s="9">
        <v>5850</v>
      </c>
      <c r="O40" s="9"/>
      <c r="P40" s="9"/>
      <c r="Q40" s="9"/>
      <c r="R40" s="9">
        <v>2763</v>
      </c>
      <c r="S40" s="9">
        <v>1802</v>
      </c>
      <c r="T40" s="9"/>
      <c r="U40" s="9"/>
      <c r="V40" s="9">
        <v>6191</v>
      </c>
      <c r="W40" s="9">
        <v>29838</v>
      </c>
      <c r="X40" s="9"/>
      <c r="Y40" s="9">
        <v>8670</v>
      </c>
      <c r="Z40" s="9">
        <v>2158</v>
      </c>
      <c r="AA40" s="9"/>
      <c r="AB40" s="9">
        <v>2878</v>
      </c>
      <c r="AC40" s="9"/>
      <c r="AD40" s="9">
        <v>12388</v>
      </c>
      <c r="AE40" s="9"/>
      <c r="AF40" s="9">
        <v>3652</v>
      </c>
      <c r="AG40" s="9">
        <v>9292</v>
      </c>
      <c r="AH40" s="9"/>
      <c r="AI40" s="9">
        <v>5050</v>
      </c>
      <c r="AJ40" s="9">
        <v>8150</v>
      </c>
      <c r="AK40" s="9">
        <v>21060</v>
      </c>
      <c r="AL40" s="9">
        <v>2478</v>
      </c>
      <c r="AM40" s="10">
        <f t="shared" si="2"/>
        <v>175691</v>
      </c>
    </row>
    <row r="41" spans="1:39" ht="12.75">
      <c r="A41" s="8" t="s">
        <v>51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v>400</v>
      </c>
      <c r="W41" s="9"/>
      <c r="X41" s="9"/>
      <c r="Y41" s="9"/>
      <c r="Z41" s="9"/>
      <c r="AA41" s="9"/>
      <c r="AB41" s="9"/>
      <c r="AC41" s="9"/>
      <c r="AD41" s="9">
        <v>400</v>
      </c>
      <c r="AE41" s="9"/>
      <c r="AF41" s="9"/>
      <c r="AG41" s="9">
        <v>700</v>
      </c>
      <c r="AH41" s="9"/>
      <c r="AI41" s="9"/>
      <c r="AJ41" s="9">
        <v>800</v>
      </c>
      <c r="AK41" s="9"/>
      <c r="AL41" s="9"/>
      <c r="AM41" s="10">
        <f t="shared" si="2"/>
        <v>2300</v>
      </c>
    </row>
    <row r="42" spans="1:39" ht="12.75">
      <c r="A42" s="8" t="s">
        <v>52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180</v>
      </c>
      <c r="O42" s="9"/>
      <c r="P42" s="9"/>
      <c r="Q42" s="9"/>
      <c r="R42" s="9">
        <v>50</v>
      </c>
      <c r="S42" s="9"/>
      <c r="T42" s="9"/>
      <c r="U42" s="9"/>
      <c r="V42" s="9"/>
      <c r="W42" s="9"/>
      <c r="X42" s="9"/>
      <c r="Y42" s="9"/>
      <c r="Z42" s="9">
        <v>420</v>
      </c>
      <c r="AA42" s="9"/>
      <c r="AB42" s="9"/>
      <c r="AC42" s="9"/>
      <c r="AD42" s="9">
        <v>140</v>
      </c>
      <c r="AE42" s="9"/>
      <c r="AF42" s="9"/>
      <c r="AG42" s="9">
        <v>400</v>
      </c>
      <c r="AH42" s="9"/>
      <c r="AI42" s="9"/>
      <c r="AJ42" s="9"/>
      <c r="AK42" s="9"/>
      <c r="AL42" s="9"/>
      <c r="AM42" s="10">
        <f t="shared" si="2"/>
        <v>1190</v>
      </c>
    </row>
    <row r="43" spans="1:39" ht="12.75">
      <c r="A43" s="8" t="s">
        <v>53</v>
      </c>
      <c r="B43" s="9"/>
      <c r="C43" s="9"/>
      <c r="D43" s="9"/>
      <c r="E43" s="9">
        <v>500</v>
      </c>
      <c r="F43" s="9"/>
      <c r="G43" s="9">
        <v>872</v>
      </c>
      <c r="H43" s="9">
        <v>6136</v>
      </c>
      <c r="I43" s="9">
        <v>744</v>
      </c>
      <c r="J43" s="9">
        <v>249</v>
      </c>
      <c r="K43" s="9">
        <v>1660</v>
      </c>
      <c r="L43" s="9"/>
      <c r="M43" s="9">
        <v>1760</v>
      </c>
      <c r="N43" s="9">
        <v>2450</v>
      </c>
      <c r="O43" s="9"/>
      <c r="P43" s="9"/>
      <c r="Q43" s="9">
        <v>260</v>
      </c>
      <c r="R43" s="9">
        <v>1000</v>
      </c>
      <c r="S43" s="9">
        <v>50</v>
      </c>
      <c r="T43" s="9"/>
      <c r="U43" s="9"/>
      <c r="V43" s="9">
        <v>1850</v>
      </c>
      <c r="W43" s="9">
        <v>2000</v>
      </c>
      <c r="X43" s="9"/>
      <c r="Y43" s="9">
        <v>240</v>
      </c>
      <c r="Z43" s="9">
        <v>704</v>
      </c>
      <c r="AA43" s="9"/>
      <c r="AB43" s="9">
        <v>2000</v>
      </c>
      <c r="AC43" s="9"/>
      <c r="AD43" s="9">
        <v>2484</v>
      </c>
      <c r="AE43" s="9"/>
      <c r="AF43" s="9">
        <v>1500</v>
      </c>
      <c r="AG43" s="9">
        <v>1000</v>
      </c>
      <c r="AH43" s="9"/>
      <c r="AI43" s="9">
        <v>3000</v>
      </c>
      <c r="AJ43" s="9">
        <v>1500</v>
      </c>
      <c r="AK43" s="9">
        <v>600</v>
      </c>
      <c r="AL43" s="9">
        <v>1000</v>
      </c>
      <c r="AM43" s="10">
        <f t="shared" si="2"/>
        <v>33559</v>
      </c>
    </row>
    <row r="44" spans="1:39" ht="12.75">
      <c r="A44" s="8" t="s">
        <v>56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v>350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>
        <v>760</v>
      </c>
      <c r="AE44" s="9"/>
      <c r="AF44" s="9"/>
      <c r="AG44" s="9"/>
      <c r="AH44" s="9"/>
      <c r="AI44" s="9"/>
      <c r="AJ44" s="9"/>
      <c r="AK44" s="9"/>
      <c r="AL44" s="9"/>
      <c r="AM44" s="10">
        <f t="shared" si="2"/>
        <v>1110</v>
      </c>
    </row>
    <row r="45" spans="1:39" ht="12.75">
      <c r="A45" s="8" t="s">
        <v>57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v>350</v>
      </c>
      <c r="O45" s="9"/>
      <c r="P45" s="9"/>
      <c r="Q45" s="9">
        <v>319</v>
      </c>
      <c r="R45" s="9"/>
      <c r="S45" s="9">
        <v>100</v>
      </c>
      <c r="T45" s="9"/>
      <c r="U45" s="9"/>
      <c r="V45" s="9"/>
      <c r="W45" s="9"/>
      <c r="X45" s="9"/>
      <c r="Y45" s="9"/>
      <c r="Z45" s="9">
        <v>200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>
        <v>210</v>
      </c>
      <c r="AL45" s="9"/>
      <c r="AM45" s="10">
        <f t="shared" si="2"/>
        <v>1179</v>
      </c>
    </row>
    <row r="46" spans="1:39" ht="12.75">
      <c r="A46" s="8" t="s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>
        <v>250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0">
        <f t="shared" si="2"/>
        <v>250</v>
      </c>
    </row>
    <row r="47" spans="1:39" ht="12.75">
      <c r="A47" s="8" t="s">
        <v>61</v>
      </c>
      <c r="B47" s="9"/>
      <c r="C47" s="9"/>
      <c r="D47" s="9"/>
      <c r="E47" s="9">
        <v>2540</v>
      </c>
      <c r="F47" s="9"/>
      <c r="G47" s="9">
        <v>2540</v>
      </c>
      <c r="H47" s="9">
        <v>11190</v>
      </c>
      <c r="I47" s="9">
        <v>2540</v>
      </c>
      <c r="J47" s="9">
        <v>2540</v>
      </c>
      <c r="K47" s="9">
        <v>5080</v>
      </c>
      <c r="L47" s="9"/>
      <c r="M47" s="9">
        <v>5080</v>
      </c>
      <c r="N47" s="9">
        <v>5080</v>
      </c>
      <c r="O47" s="9"/>
      <c r="P47" s="9"/>
      <c r="Q47" s="9">
        <v>2540</v>
      </c>
      <c r="R47" s="9">
        <v>5080</v>
      </c>
      <c r="S47" s="9">
        <v>2540</v>
      </c>
      <c r="T47" s="9"/>
      <c r="U47" s="9"/>
      <c r="V47" s="9">
        <v>8164</v>
      </c>
      <c r="W47" s="9">
        <v>7620</v>
      </c>
      <c r="X47" s="9"/>
      <c r="Y47" s="9">
        <v>5334</v>
      </c>
      <c r="Z47" s="9">
        <v>5309</v>
      </c>
      <c r="AA47" s="9"/>
      <c r="AB47" s="9">
        <v>5080</v>
      </c>
      <c r="AC47" s="9"/>
      <c r="AD47" s="9">
        <v>8135</v>
      </c>
      <c r="AE47" s="9"/>
      <c r="AF47" s="9">
        <v>5080</v>
      </c>
      <c r="AG47" s="9">
        <v>5080</v>
      </c>
      <c r="AH47" s="9"/>
      <c r="AI47" s="9">
        <v>5309</v>
      </c>
      <c r="AJ47" s="9">
        <v>7620</v>
      </c>
      <c r="AK47" s="9">
        <v>10160</v>
      </c>
      <c r="AL47" s="9">
        <v>2540</v>
      </c>
      <c r="AM47" s="10">
        <f t="shared" si="2"/>
        <v>122181</v>
      </c>
    </row>
    <row r="48" spans="1:39" ht="12.75">
      <c r="A48" s="8" t="s">
        <v>63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100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>
        <v>500</v>
      </c>
      <c r="AH48" s="9"/>
      <c r="AI48" s="9"/>
      <c r="AJ48" s="9">
        <v>940</v>
      </c>
      <c r="AK48" s="9"/>
      <c r="AL48" s="9">
        <v>300</v>
      </c>
      <c r="AM48" s="10">
        <f t="shared" si="2"/>
        <v>1840</v>
      </c>
    </row>
    <row r="49" spans="1:39" ht="12.75">
      <c r="A49" s="8" t="s">
        <v>64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>
        <v>800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0">
        <f t="shared" si="2"/>
        <v>800</v>
      </c>
    </row>
    <row r="50" spans="1:39" ht="12.75">
      <c r="A50" s="8" t="s">
        <v>69</v>
      </c>
      <c r="B50" s="10">
        <f aca="true" t="shared" si="3" ref="B50:AL50">SUM(B33:B49)</f>
        <v>0</v>
      </c>
      <c r="C50" s="10">
        <f t="shared" si="3"/>
        <v>0</v>
      </c>
      <c r="D50" s="10">
        <f t="shared" si="3"/>
        <v>0</v>
      </c>
      <c r="E50" s="10">
        <f t="shared" si="3"/>
        <v>62258</v>
      </c>
      <c r="F50" s="10">
        <f t="shared" si="3"/>
        <v>0</v>
      </c>
      <c r="G50" s="10">
        <f t="shared" si="3"/>
        <v>45546</v>
      </c>
      <c r="H50" s="10">
        <f t="shared" si="3"/>
        <v>292737</v>
      </c>
      <c r="I50" s="10">
        <f t="shared" si="3"/>
        <v>68040</v>
      </c>
      <c r="J50" s="10">
        <f t="shared" si="3"/>
        <v>63133</v>
      </c>
      <c r="K50" s="10">
        <f t="shared" si="3"/>
        <v>109462</v>
      </c>
      <c r="L50" s="10">
        <f t="shared" si="3"/>
        <v>0</v>
      </c>
      <c r="M50" s="10">
        <f t="shared" si="3"/>
        <v>95053</v>
      </c>
      <c r="N50" s="10">
        <f t="shared" si="3"/>
        <v>114410</v>
      </c>
      <c r="O50" s="10">
        <f t="shared" si="3"/>
        <v>0</v>
      </c>
      <c r="P50" s="10">
        <f t="shared" si="3"/>
        <v>0</v>
      </c>
      <c r="Q50" s="10">
        <f t="shared" si="3"/>
        <v>45042</v>
      </c>
      <c r="R50" s="10">
        <f t="shared" si="3"/>
        <v>109384</v>
      </c>
      <c r="S50" s="10">
        <f t="shared" si="3"/>
        <v>58434</v>
      </c>
      <c r="T50" s="10">
        <f t="shared" si="3"/>
        <v>0</v>
      </c>
      <c r="U50" s="10">
        <f t="shared" si="3"/>
        <v>0</v>
      </c>
      <c r="V50" s="10">
        <f t="shared" si="3"/>
        <v>158198</v>
      </c>
      <c r="W50" s="10">
        <f t="shared" si="3"/>
        <v>175142</v>
      </c>
      <c r="X50" s="10">
        <f t="shared" si="3"/>
        <v>0</v>
      </c>
      <c r="Y50" s="10">
        <f t="shared" si="3"/>
        <v>94695</v>
      </c>
      <c r="Z50" s="10">
        <f t="shared" si="3"/>
        <v>125974</v>
      </c>
      <c r="AA50" s="10">
        <f t="shared" si="3"/>
        <v>0</v>
      </c>
      <c r="AB50" s="10">
        <f t="shared" si="3"/>
        <v>109041</v>
      </c>
      <c r="AC50" s="10">
        <f t="shared" si="3"/>
        <v>0</v>
      </c>
      <c r="AD50" s="10">
        <f t="shared" si="3"/>
        <v>185400</v>
      </c>
      <c r="AE50" s="10">
        <f t="shared" si="3"/>
        <v>0</v>
      </c>
      <c r="AF50" s="10">
        <f t="shared" si="3"/>
        <v>108129</v>
      </c>
      <c r="AG50" s="10">
        <f t="shared" si="3"/>
        <v>134022</v>
      </c>
      <c r="AH50" s="10">
        <f t="shared" si="3"/>
        <v>0</v>
      </c>
      <c r="AI50" s="10">
        <f t="shared" si="3"/>
        <v>139858</v>
      </c>
      <c r="AJ50" s="10">
        <f t="shared" si="3"/>
        <v>154849</v>
      </c>
      <c r="AK50" s="10">
        <f t="shared" si="3"/>
        <v>252804</v>
      </c>
      <c r="AL50" s="10">
        <f t="shared" si="3"/>
        <v>63137</v>
      </c>
      <c r="AM50" s="10">
        <f t="shared" si="2"/>
        <v>2764748</v>
      </c>
    </row>
    <row r="51" spans="1:39" ht="12.75">
      <c r="A51" s="8" t="s">
        <v>40</v>
      </c>
      <c r="B51" s="9">
        <v>6397</v>
      </c>
      <c r="C51" s="9">
        <v>4975</v>
      </c>
      <c r="D51" s="9">
        <v>5945</v>
      </c>
      <c r="E51" s="9"/>
      <c r="F51" s="9">
        <v>6652</v>
      </c>
      <c r="G51" s="9">
        <v>3399</v>
      </c>
      <c r="H51" s="9"/>
      <c r="I51" s="9">
        <v>3462</v>
      </c>
      <c r="J51" s="9">
        <v>4868</v>
      </c>
      <c r="K51" s="9"/>
      <c r="L51" s="9">
        <v>3416</v>
      </c>
      <c r="M51" s="9"/>
      <c r="N51" s="9"/>
      <c r="O51" s="9"/>
      <c r="P51" s="9"/>
      <c r="Q51" s="9"/>
      <c r="R51" s="9"/>
      <c r="S51" s="9"/>
      <c r="T51" s="9">
        <v>6000</v>
      </c>
      <c r="U51" s="9"/>
      <c r="V51" s="9"/>
      <c r="W51" s="9">
        <v>7152</v>
      </c>
      <c r="X51" s="9"/>
      <c r="Y51" s="9"/>
      <c r="Z51" s="9"/>
      <c r="AA51" s="9">
        <v>6061</v>
      </c>
      <c r="AB51" s="9"/>
      <c r="AC51" s="9"/>
      <c r="AD51" s="9"/>
      <c r="AE51" s="9">
        <v>6850</v>
      </c>
      <c r="AF51" s="9">
        <v>5593</v>
      </c>
      <c r="AG51" s="9">
        <v>6847</v>
      </c>
      <c r="AH51" s="9">
        <v>8354</v>
      </c>
      <c r="AI51" s="9"/>
      <c r="AJ51" s="9">
        <v>4203</v>
      </c>
      <c r="AK51" s="9">
        <v>8181</v>
      </c>
      <c r="AL51" s="9">
        <v>2380</v>
      </c>
      <c r="AM51" s="10">
        <f t="shared" si="2"/>
        <v>100735</v>
      </c>
    </row>
    <row r="52" spans="1:39" ht="12.75">
      <c r="A52" s="8" t="s">
        <v>41</v>
      </c>
      <c r="B52" s="9">
        <v>2298524</v>
      </c>
      <c r="C52" s="9">
        <v>1453897</v>
      </c>
      <c r="D52" s="9">
        <v>1783266</v>
      </c>
      <c r="E52" s="9"/>
      <c r="F52" s="9">
        <v>2073589</v>
      </c>
      <c r="G52" s="9">
        <v>1119725</v>
      </c>
      <c r="H52" s="9"/>
      <c r="I52" s="9">
        <v>1092460</v>
      </c>
      <c r="J52" s="9">
        <v>1433274</v>
      </c>
      <c r="K52" s="9"/>
      <c r="L52" s="9">
        <v>864684</v>
      </c>
      <c r="M52" s="9"/>
      <c r="N52" s="9"/>
      <c r="O52" s="9"/>
      <c r="P52" s="9"/>
      <c r="Q52" s="9"/>
      <c r="R52" s="9"/>
      <c r="S52" s="9"/>
      <c r="T52" s="9">
        <v>1917735</v>
      </c>
      <c r="U52" s="9"/>
      <c r="V52" s="9"/>
      <c r="W52" s="9">
        <v>1837575</v>
      </c>
      <c r="X52" s="9"/>
      <c r="Y52" s="9"/>
      <c r="Z52" s="9"/>
      <c r="AA52" s="9">
        <v>1511117</v>
      </c>
      <c r="AB52" s="9"/>
      <c r="AC52" s="9"/>
      <c r="AD52" s="9"/>
      <c r="AE52" s="9">
        <v>1400190</v>
      </c>
      <c r="AF52" s="9">
        <v>1505346</v>
      </c>
      <c r="AG52" s="9">
        <v>1679272</v>
      </c>
      <c r="AH52" s="9">
        <v>1796065</v>
      </c>
      <c r="AI52" s="9"/>
      <c r="AJ52" s="9">
        <v>1217294</v>
      </c>
      <c r="AK52" s="9">
        <v>2021177</v>
      </c>
      <c r="AL52" s="9">
        <v>1073336</v>
      </c>
      <c r="AM52" s="10">
        <f t="shared" si="2"/>
        <v>28078526</v>
      </c>
    </row>
    <row r="53" spans="1:39" ht="12.75">
      <c r="A53" s="8" t="s">
        <v>42</v>
      </c>
      <c r="B53" s="9">
        <v>188160</v>
      </c>
      <c r="C53" s="9">
        <v>112640</v>
      </c>
      <c r="D53" s="9">
        <v>148526</v>
      </c>
      <c r="E53" s="9"/>
      <c r="F53" s="9">
        <v>175272</v>
      </c>
      <c r="G53" s="9">
        <v>92320</v>
      </c>
      <c r="H53" s="9"/>
      <c r="I53" s="9">
        <v>88738</v>
      </c>
      <c r="J53" s="9">
        <v>123254</v>
      </c>
      <c r="K53" s="9"/>
      <c r="L53" s="9">
        <v>69726</v>
      </c>
      <c r="M53" s="9"/>
      <c r="N53" s="9"/>
      <c r="O53" s="9"/>
      <c r="P53" s="9"/>
      <c r="Q53" s="9"/>
      <c r="R53" s="9"/>
      <c r="S53" s="9"/>
      <c r="T53" s="9">
        <v>148000</v>
      </c>
      <c r="U53" s="9"/>
      <c r="V53" s="9"/>
      <c r="W53" s="9">
        <v>150243</v>
      </c>
      <c r="X53" s="9"/>
      <c r="Y53" s="9"/>
      <c r="Z53" s="9"/>
      <c r="AA53" s="9">
        <v>120870</v>
      </c>
      <c r="AB53" s="9"/>
      <c r="AC53" s="9"/>
      <c r="AD53" s="9"/>
      <c r="AE53" s="9">
        <v>115498</v>
      </c>
      <c r="AF53" s="9">
        <v>126482</v>
      </c>
      <c r="AG53" s="9">
        <v>143537</v>
      </c>
      <c r="AH53" s="9">
        <v>141181</v>
      </c>
      <c r="AI53" s="9"/>
      <c r="AJ53" s="9">
        <v>102385</v>
      </c>
      <c r="AK53" s="9">
        <v>164603</v>
      </c>
      <c r="AL53" s="9">
        <v>83212</v>
      </c>
      <c r="AM53" s="10">
        <f t="shared" si="2"/>
        <v>2294647</v>
      </c>
    </row>
    <row r="54" spans="1:39" ht="12.75">
      <c r="A54" s="8" t="s">
        <v>43</v>
      </c>
      <c r="B54" s="9">
        <v>386888</v>
      </c>
      <c r="C54" s="9">
        <v>242723</v>
      </c>
      <c r="D54" s="9">
        <v>300129</v>
      </c>
      <c r="E54" s="9"/>
      <c r="F54" s="9">
        <v>351651</v>
      </c>
      <c r="G54" s="9">
        <v>187884</v>
      </c>
      <c r="H54" s="9"/>
      <c r="I54" s="9">
        <v>184472</v>
      </c>
      <c r="J54" s="9">
        <v>242262</v>
      </c>
      <c r="K54" s="9"/>
      <c r="L54" s="9">
        <v>146094</v>
      </c>
      <c r="M54" s="9"/>
      <c r="N54" s="9"/>
      <c r="O54" s="9"/>
      <c r="P54" s="9"/>
      <c r="Q54" s="9"/>
      <c r="R54" s="9"/>
      <c r="S54" s="9"/>
      <c r="T54" s="9">
        <v>320707</v>
      </c>
      <c r="U54" s="9"/>
      <c r="V54" s="9"/>
      <c r="W54" s="9">
        <v>310046</v>
      </c>
      <c r="X54" s="9"/>
      <c r="Y54" s="9"/>
      <c r="Z54" s="9"/>
      <c r="AA54" s="9">
        <v>253147</v>
      </c>
      <c r="AB54" s="9"/>
      <c r="AC54" s="9"/>
      <c r="AD54" s="9"/>
      <c r="AE54" s="9">
        <v>236266</v>
      </c>
      <c r="AF54" s="9">
        <v>254456</v>
      </c>
      <c r="AG54" s="9">
        <v>284162</v>
      </c>
      <c r="AH54" s="9">
        <v>302738</v>
      </c>
      <c r="AI54" s="9"/>
      <c r="AJ54" s="9">
        <v>204626</v>
      </c>
      <c r="AK54" s="9">
        <v>342682</v>
      </c>
      <c r="AL54" s="9">
        <v>178401</v>
      </c>
      <c r="AM54" s="10">
        <f t="shared" si="2"/>
        <v>4729334</v>
      </c>
    </row>
    <row r="55" spans="1:39" ht="12.75">
      <c r="A55" s="8" t="s">
        <v>44</v>
      </c>
      <c r="B55" s="9">
        <v>61550</v>
      </c>
      <c r="C55" s="9">
        <v>38615</v>
      </c>
      <c r="D55" s="9">
        <v>47748</v>
      </c>
      <c r="E55" s="9"/>
      <c r="F55" s="9">
        <v>55945</v>
      </c>
      <c r="G55" s="9">
        <v>29891</v>
      </c>
      <c r="H55" s="9"/>
      <c r="I55" s="9">
        <v>29348</v>
      </c>
      <c r="J55" s="9">
        <v>38542</v>
      </c>
      <c r="K55" s="9"/>
      <c r="L55" s="9">
        <v>23242</v>
      </c>
      <c r="M55" s="9"/>
      <c r="N55" s="9"/>
      <c r="O55" s="9"/>
      <c r="P55" s="9"/>
      <c r="Q55" s="9"/>
      <c r="R55" s="9"/>
      <c r="S55" s="9"/>
      <c r="T55" s="9">
        <v>51022</v>
      </c>
      <c r="U55" s="9"/>
      <c r="V55" s="9"/>
      <c r="W55" s="9">
        <v>49325</v>
      </c>
      <c r="X55" s="9"/>
      <c r="Y55" s="9"/>
      <c r="Z55" s="9"/>
      <c r="AA55" s="9">
        <v>40273</v>
      </c>
      <c r="AB55" s="9"/>
      <c r="AC55" s="9"/>
      <c r="AD55" s="9"/>
      <c r="AE55" s="9">
        <v>37588</v>
      </c>
      <c r="AF55" s="9">
        <v>40482</v>
      </c>
      <c r="AG55" s="9">
        <v>45208</v>
      </c>
      <c r="AH55" s="9">
        <v>48163</v>
      </c>
      <c r="AI55" s="9"/>
      <c r="AJ55" s="9">
        <v>32554</v>
      </c>
      <c r="AK55" s="9">
        <v>54518</v>
      </c>
      <c r="AL55" s="9">
        <v>28382</v>
      </c>
      <c r="AM55" s="10">
        <f t="shared" si="2"/>
        <v>752396</v>
      </c>
    </row>
    <row r="56" spans="1:39" ht="12.75">
      <c r="A56" s="8" t="s">
        <v>45</v>
      </c>
      <c r="B56" s="9"/>
      <c r="C56" s="9">
        <v>12500</v>
      </c>
      <c r="D56" s="9"/>
      <c r="E56" s="9"/>
      <c r="F56" s="9">
        <v>7200</v>
      </c>
      <c r="G56" s="9"/>
      <c r="H56" s="9"/>
      <c r="I56" s="9"/>
      <c r="J56" s="9">
        <v>2820</v>
      </c>
      <c r="K56" s="9"/>
      <c r="L56" s="9">
        <v>8000</v>
      </c>
      <c r="M56" s="9"/>
      <c r="N56" s="9"/>
      <c r="O56" s="9"/>
      <c r="P56" s="9"/>
      <c r="Q56" s="9"/>
      <c r="R56" s="9"/>
      <c r="S56" s="9"/>
      <c r="T56" s="9">
        <v>1500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>
        <v>6552</v>
      </c>
      <c r="AI56" s="9"/>
      <c r="AJ56" s="9"/>
      <c r="AK56" s="9"/>
      <c r="AL56" s="9"/>
      <c r="AM56" s="10">
        <f t="shared" si="2"/>
        <v>38572</v>
      </c>
    </row>
    <row r="57" spans="1:39" ht="12.75">
      <c r="A57" s="8" t="s">
        <v>46</v>
      </c>
      <c r="B57" s="9"/>
      <c r="C57" s="9"/>
      <c r="D57" s="9">
        <v>1500</v>
      </c>
      <c r="E57" s="9"/>
      <c r="F57" s="9">
        <v>3304</v>
      </c>
      <c r="G57" s="9"/>
      <c r="H57" s="9"/>
      <c r="I57" s="9"/>
      <c r="J57" s="9"/>
      <c r="K57" s="9"/>
      <c r="L57" s="9">
        <v>1000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0">
        <f t="shared" si="2"/>
        <v>5804</v>
      </c>
    </row>
    <row r="58" spans="1:39" ht="12.75">
      <c r="A58" s="8" t="s">
        <v>47</v>
      </c>
      <c r="B58" s="9">
        <v>25000</v>
      </c>
      <c r="C58" s="9">
        <f>197648+2500</f>
        <v>200148</v>
      </c>
      <c r="D58" s="9">
        <f>11400+3000</f>
        <v>14400</v>
      </c>
      <c r="E58" s="9"/>
      <c r="F58" s="9">
        <v>24388</v>
      </c>
      <c r="G58" s="9">
        <v>6000</v>
      </c>
      <c r="H58" s="9"/>
      <c r="I58" s="9">
        <v>10768</v>
      </c>
      <c r="J58" s="9">
        <v>4096</v>
      </c>
      <c r="K58" s="9"/>
      <c r="L58" s="9">
        <v>3500</v>
      </c>
      <c r="M58" s="9"/>
      <c r="N58" s="9"/>
      <c r="O58" s="9"/>
      <c r="P58" s="9"/>
      <c r="Q58" s="9"/>
      <c r="R58" s="9"/>
      <c r="S58" s="9"/>
      <c r="T58" s="9">
        <v>14849</v>
      </c>
      <c r="U58" s="9"/>
      <c r="V58" s="9"/>
      <c r="W58" s="9">
        <v>10000</v>
      </c>
      <c r="X58" s="9"/>
      <c r="Y58" s="9"/>
      <c r="Z58" s="9"/>
      <c r="AA58" s="9">
        <v>12000</v>
      </c>
      <c r="AB58" s="9"/>
      <c r="AC58" s="9"/>
      <c r="AD58" s="9"/>
      <c r="AE58" s="9">
        <v>11900</v>
      </c>
      <c r="AF58" s="9">
        <v>12000</v>
      </c>
      <c r="AG58" s="9">
        <v>7000</v>
      </c>
      <c r="AH58" s="9">
        <v>27430</v>
      </c>
      <c r="AI58" s="9"/>
      <c r="AJ58" s="9">
        <v>10000</v>
      </c>
      <c r="AK58" s="9">
        <v>5700</v>
      </c>
      <c r="AL58" s="9">
        <v>8500</v>
      </c>
      <c r="AM58" s="10">
        <f t="shared" si="2"/>
        <v>407679</v>
      </c>
    </row>
    <row r="59" spans="1:39" ht="12.75">
      <c r="A59" s="8" t="s">
        <v>48</v>
      </c>
      <c r="B59" s="9"/>
      <c r="C59" s="9">
        <v>10350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>
        <v>700</v>
      </c>
      <c r="AI59" s="9"/>
      <c r="AJ59" s="9"/>
      <c r="AK59" s="9"/>
      <c r="AL59" s="9"/>
      <c r="AM59" s="10">
        <f t="shared" si="2"/>
        <v>11050</v>
      </c>
    </row>
    <row r="60" spans="1:39" ht="12.75">
      <c r="A60" s="8" t="s">
        <v>49</v>
      </c>
      <c r="B60" s="9">
        <v>2000</v>
      </c>
      <c r="C60" s="9">
        <v>2000</v>
      </c>
      <c r="D60" s="9">
        <f>4000+1500</f>
        <v>5500</v>
      </c>
      <c r="E60" s="9"/>
      <c r="F60" s="9">
        <f>2500+5000</f>
        <v>7500</v>
      </c>
      <c r="G60" s="9">
        <v>600</v>
      </c>
      <c r="H60" s="9"/>
      <c r="I60" s="9">
        <v>1000</v>
      </c>
      <c r="J60" s="9">
        <f>3760+1000</f>
        <v>4760</v>
      </c>
      <c r="K60" s="9"/>
      <c r="L60" s="9">
        <v>2000</v>
      </c>
      <c r="M60" s="9"/>
      <c r="N60" s="9"/>
      <c r="O60" s="9"/>
      <c r="P60" s="9"/>
      <c r="Q60" s="9"/>
      <c r="R60" s="9"/>
      <c r="S60" s="9"/>
      <c r="T60" s="9">
        <v>4000</v>
      </c>
      <c r="U60" s="9"/>
      <c r="V60" s="9"/>
      <c r="W60" s="9">
        <v>3000</v>
      </c>
      <c r="X60" s="9"/>
      <c r="Y60" s="9"/>
      <c r="Z60" s="9"/>
      <c r="AA60" s="9">
        <v>3000</v>
      </c>
      <c r="AB60" s="9"/>
      <c r="AC60" s="9"/>
      <c r="AD60" s="9"/>
      <c r="AE60" s="9">
        <v>4000</v>
      </c>
      <c r="AF60" s="9">
        <v>1000</v>
      </c>
      <c r="AG60" s="9">
        <v>2112</v>
      </c>
      <c r="AH60" s="9">
        <v>1500</v>
      </c>
      <c r="AI60" s="9"/>
      <c r="AJ60" s="9">
        <v>1500</v>
      </c>
      <c r="AK60" s="9">
        <v>3000</v>
      </c>
      <c r="AL60" s="9">
        <v>2000</v>
      </c>
      <c r="AM60" s="10">
        <f t="shared" si="2"/>
        <v>50472</v>
      </c>
    </row>
    <row r="61" spans="1:39" ht="12.75">
      <c r="A61" s="8" t="s">
        <v>70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>
        <v>300</v>
      </c>
      <c r="AI61" s="9"/>
      <c r="AJ61" s="9"/>
      <c r="AK61" s="9"/>
      <c r="AL61" s="9"/>
      <c r="AM61" s="10">
        <f t="shared" si="2"/>
        <v>300</v>
      </c>
    </row>
    <row r="62" spans="1:39" ht="12.75">
      <c r="A62" s="8" t="s">
        <v>50</v>
      </c>
      <c r="B62" s="9">
        <v>149480</v>
      </c>
      <c r="C62" s="9">
        <v>35546</v>
      </c>
      <c r="D62" s="9">
        <v>161600</v>
      </c>
      <c r="E62" s="9"/>
      <c r="F62" s="9">
        <v>228433</v>
      </c>
      <c r="G62" s="9">
        <v>35295</v>
      </c>
      <c r="H62" s="9"/>
      <c r="I62" s="9">
        <v>62458</v>
      </c>
      <c r="J62" s="9">
        <v>104065</v>
      </c>
      <c r="K62" s="9"/>
      <c r="L62" s="9">
        <v>39445</v>
      </c>
      <c r="M62" s="9"/>
      <c r="N62" s="9"/>
      <c r="O62" s="9"/>
      <c r="P62" s="9"/>
      <c r="Q62" s="9"/>
      <c r="R62" s="9"/>
      <c r="S62" s="9"/>
      <c r="T62" s="9">
        <v>167000</v>
      </c>
      <c r="U62" s="9"/>
      <c r="V62" s="9"/>
      <c r="W62" s="9">
        <v>172440</v>
      </c>
      <c r="X62" s="9"/>
      <c r="Y62" s="9"/>
      <c r="Z62" s="9"/>
      <c r="AA62" s="9">
        <v>100697</v>
      </c>
      <c r="AB62" s="9"/>
      <c r="AC62" s="9"/>
      <c r="AD62" s="9"/>
      <c r="AE62" s="9">
        <v>192372</v>
      </c>
      <c r="AF62" s="9">
        <v>3095</v>
      </c>
      <c r="AG62" s="9">
        <v>185514</v>
      </c>
      <c r="AH62" s="9">
        <v>127664</v>
      </c>
      <c r="AI62" s="9"/>
      <c r="AJ62" s="9">
        <v>111600</v>
      </c>
      <c r="AK62" s="9">
        <v>175740</v>
      </c>
      <c r="AL62" s="9">
        <v>25559</v>
      </c>
      <c r="AM62" s="10">
        <f t="shared" si="2"/>
        <v>2078003</v>
      </c>
    </row>
    <row r="63" spans="1:39" ht="12.75">
      <c r="A63" s="8" t="s">
        <v>51</v>
      </c>
      <c r="B63" s="9">
        <f>4000+150000</f>
        <v>154000</v>
      </c>
      <c r="C63" s="9">
        <v>60000</v>
      </c>
      <c r="D63" s="9">
        <v>60000</v>
      </c>
      <c r="E63" s="9"/>
      <c r="F63" s="9">
        <f>5000+3000+100000</f>
        <v>108000</v>
      </c>
      <c r="G63" s="9"/>
      <c r="H63" s="9"/>
      <c r="I63" s="9">
        <v>500</v>
      </c>
      <c r="J63" s="9">
        <v>3431</v>
      </c>
      <c r="K63" s="9"/>
      <c r="L63" s="9">
        <v>4000</v>
      </c>
      <c r="M63" s="9"/>
      <c r="N63" s="9"/>
      <c r="O63" s="9"/>
      <c r="P63" s="9"/>
      <c r="Q63" s="9"/>
      <c r="R63" s="9"/>
      <c r="S63" s="9"/>
      <c r="T63" s="9">
        <f>2000+90000</f>
        <v>92000</v>
      </c>
      <c r="U63" s="9"/>
      <c r="V63" s="9"/>
      <c r="W63" s="9">
        <v>3000</v>
      </c>
      <c r="X63" s="9"/>
      <c r="Y63" s="9"/>
      <c r="Z63" s="9"/>
      <c r="AA63" s="9">
        <v>3500</v>
      </c>
      <c r="AB63" s="9"/>
      <c r="AC63" s="9"/>
      <c r="AD63" s="9"/>
      <c r="AE63" s="9">
        <v>2500</v>
      </c>
      <c r="AF63" s="9">
        <v>500</v>
      </c>
      <c r="AG63" s="9">
        <v>4000</v>
      </c>
      <c r="AH63" s="9">
        <v>2550</v>
      </c>
      <c r="AI63" s="9"/>
      <c r="AJ63" s="9">
        <v>3000</v>
      </c>
      <c r="AK63" s="9">
        <v>6000</v>
      </c>
      <c r="AL63" s="9">
        <v>500</v>
      </c>
      <c r="AM63" s="10">
        <f t="shared" si="2"/>
        <v>507481</v>
      </c>
    </row>
    <row r="64" spans="1:39" ht="12.75">
      <c r="A64" s="8" t="s">
        <v>52</v>
      </c>
      <c r="B64" s="9">
        <v>2708</v>
      </c>
      <c r="C64" s="9">
        <v>2000</v>
      </c>
      <c r="D64" s="9"/>
      <c r="E64" s="9"/>
      <c r="F64" s="9">
        <v>3600</v>
      </c>
      <c r="G64" s="9">
        <v>2500</v>
      </c>
      <c r="H64" s="9"/>
      <c r="I64" s="9">
        <v>800</v>
      </c>
      <c r="J64" s="9">
        <v>1692</v>
      </c>
      <c r="K64" s="9"/>
      <c r="L64" s="9">
        <v>1500</v>
      </c>
      <c r="M64" s="9"/>
      <c r="N64" s="9"/>
      <c r="O64" s="9"/>
      <c r="P64" s="9"/>
      <c r="Q64" s="9"/>
      <c r="R64" s="9"/>
      <c r="S64" s="9"/>
      <c r="T64" s="9">
        <v>2800</v>
      </c>
      <c r="U64" s="9"/>
      <c r="V64" s="9"/>
      <c r="W64" s="9">
        <v>2500</v>
      </c>
      <c r="X64" s="9"/>
      <c r="Y64" s="9"/>
      <c r="Z64" s="9"/>
      <c r="AA64" s="9">
        <v>2000</v>
      </c>
      <c r="AB64" s="9"/>
      <c r="AC64" s="9"/>
      <c r="AD64" s="9"/>
      <c r="AE64" s="9">
        <v>3200</v>
      </c>
      <c r="AF64" s="9">
        <v>2600</v>
      </c>
      <c r="AG64" s="9">
        <v>3500</v>
      </c>
      <c r="AH64" s="9">
        <v>4700</v>
      </c>
      <c r="AI64" s="9"/>
      <c r="AJ64" s="9">
        <v>2200</v>
      </c>
      <c r="AK64" s="9">
        <v>4200</v>
      </c>
      <c r="AL64" s="9"/>
      <c r="AM64" s="10">
        <f t="shared" si="2"/>
        <v>42500</v>
      </c>
    </row>
    <row r="65" spans="1:39" ht="12.75">
      <c r="A65" s="8" t="s">
        <v>53</v>
      </c>
      <c r="B65" s="9">
        <v>27000</v>
      </c>
      <c r="C65" s="9">
        <v>25000</v>
      </c>
      <c r="D65" s="9">
        <v>19960</v>
      </c>
      <c r="E65" s="9"/>
      <c r="F65" s="9">
        <v>23456</v>
      </c>
      <c r="G65" s="9">
        <v>12759</v>
      </c>
      <c r="H65" s="9"/>
      <c r="I65" s="9">
        <v>9340</v>
      </c>
      <c r="J65" s="9">
        <v>13947</v>
      </c>
      <c r="K65" s="9"/>
      <c r="L65" s="9">
        <v>3000</v>
      </c>
      <c r="M65" s="9"/>
      <c r="N65" s="9"/>
      <c r="O65" s="9"/>
      <c r="P65" s="9"/>
      <c r="Q65" s="9"/>
      <c r="R65" s="9"/>
      <c r="S65" s="9"/>
      <c r="T65" s="9">
        <v>23000</v>
      </c>
      <c r="U65" s="9"/>
      <c r="V65" s="9"/>
      <c r="W65" s="9">
        <v>19572</v>
      </c>
      <c r="X65" s="9"/>
      <c r="Y65" s="9"/>
      <c r="Z65" s="9"/>
      <c r="AA65" s="9">
        <v>17878</v>
      </c>
      <c r="AB65" s="9"/>
      <c r="AC65" s="9"/>
      <c r="AD65" s="9"/>
      <c r="AE65" s="9">
        <v>16188</v>
      </c>
      <c r="AF65" s="9">
        <v>11332</v>
      </c>
      <c r="AG65" s="9">
        <v>7000</v>
      </c>
      <c r="AH65" s="9">
        <v>19822</v>
      </c>
      <c r="AI65" s="9"/>
      <c r="AJ65" s="9">
        <v>8700</v>
      </c>
      <c r="AK65" s="9">
        <v>17500</v>
      </c>
      <c r="AL65" s="9">
        <v>5448</v>
      </c>
      <c r="AM65" s="10">
        <f t="shared" si="2"/>
        <v>280902</v>
      </c>
    </row>
    <row r="66" spans="1:39" ht="12.75">
      <c r="A66" s="8" t="s">
        <v>54</v>
      </c>
      <c r="B66" s="9"/>
      <c r="C66" s="9">
        <v>2900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>
        <v>2450</v>
      </c>
      <c r="AI66" s="9"/>
      <c r="AJ66" s="9"/>
      <c r="AK66" s="9"/>
      <c r="AL66" s="9"/>
      <c r="AM66" s="10">
        <f t="shared" si="2"/>
        <v>5350</v>
      </c>
    </row>
    <row r="67" spans="1:39" ht="12.75">
      <c r="A67" s="8" t="s">
        <v>55</v>
      </c>
      <c r="B67" s="9">
        <v>6300</v>
      </c>
      <c r="C67" s="9">
        <v>3500</v>
      </c>
      <c r="D67" s="9">
        <v>348</v>
      </c>
      <c r="E67" s="9"/>
      <c r="F67" s="9">
        <v>1700</v>
      </c>
      <c r="G67" s="9">
        <v>1000</v>
      </c>
      <c r="H67" s="9"/>
      <c r="I67" s="9">
        <v>800</v>
      </c>
      <c r="J67" s="9">
        <v>710</v>
      </c>
      <c r="K67" s="9"/>
      <c r="L67" s="9">
        <v>500</v>
      </c>
      <c r="M67" s="9"/>
      <c r="N67" s="9"/>
      <c r="O67" s="9"/>
      <c r="P67" s="9"/>
      <c r="Q67" s="9"/>
      <c r="R67" s="9"/>
      <c r="S67" s="9"/>
      <c r="T67" s="9">
        <v>1303</v>
      </c>
      <c r="U67" s="9"/>
      <c r="V67" s="9"/>
      <c r="W67" s="9">
        <v>1500</v>
      </c>
      <c r="X67" s="9"/>
      <c r="Y67" s="9"/>
      <c r="Z67" s="9"/>
      <c r="AA67" s="9">
        <v>1010</v>
      </c>
      <c r="AB67" s="9"/>
      <c r="AC67" s="9"/>
      <c r="AD67" s="9"/>
      <c r="AE67" s="9">
        <v>200</v>
      </c>
      <c r="AF67" s="9">
        <v>2000</v>
      </c>
      <c r="AG67" s="9"/>
      <c r="AH67" s="9"/>
      <c r="AI67" s="9"/>
      <c r="AJ67" s="9">
        <v>900</v>
      </c>
      <c r="AK67" s="9"/>
      <c r="AL67" s="9"/>
      <c r="AM67" s="10">
        <f t="shared" si="2"/>
        <v>21771</v>
      </c>
    </row>
    <row r="68" spans="1:39" ht="12.75">
      <c r="A68" s="8" t="s">
        <v>56</v>
      </c>
      <c r="B68" s="9"/>
      <c r="C68" s="9"/>
      <c r="D68" s="9">
        <v>3132</v>
      </c>
      <c r="E68" s="9"/>
      <c r="F68" s="9">
        <v>1700</v>
      </c>
      <c r="G68" s="9"/>
      <c r="H68" s="9"/>
      <c r="I68" s="9"/>
      <c r="J68" s="9"/>
      <c r="K68" s="9"/>
      <c r="L68" s="9">
        <v>700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>
        <v>2000</v>
      </c>
      <c r="X68" s="9"/>
      <c r="Y68" s="9"/>
      <c r="Z68" s="9"/>
      <c r="AA68" s="9">
        <v>210</v>
      </c>
      <c r="AB68" s="9"/>
      <c r="AC68" s="9"/>
      <c r="AD68" s="9"/>
      <c r="AE68" s="9"/>
      <c r="AF68" s="9"/>
      <c r="AG68" s="9"/>
      <c r="AH68" s="9"/>
      <c r="AI68" s="9"/>
      <c r="AJ68" s="9"/>
      <c r="AK68" s="9">
        <v>1800</v>
      </c>
      <c r="AL68" s="9">
        <v>1500</v>
      </c>
      <c r="AM68" s="10">
        <f aca="true" t="shared" si="4" ref="AM68:AM99">SUM(B68:AL68)</f>
        <v>11042</v>
      </c>
    </row>
    <row r="69" spans="1:39" ht="12.75">
      <c r="A69" s="8" t="s">
        <v>57</v>
      </c>
      <c r="B69" s="9">
        <v>4100</v>
      </c>
      <c r="C69" s="9">
        <v>3500</v>
      </c>
      <c r="D69" s="9">
        <v>2400</v>
      </c>
      <c r="E69" s="9"/>
      <c r="F69" s="9">
        <v>3900</v>
      </c>
      <c r="G69" s="9">
        <v>2500</v>
      </c>
      <c r="H69" s="9"/>
      <c r="I69" s="9">
        <v>3000</v>
      </c>
      <c r="J69" s="9">
        <v>2914</v>
      </c>
      <c r="K69" s="9"/>
      <c r="L69" s="9">
        <v>1000</v>
      </c>
      <c r="M69" s="9"/>
      <c r="N69" s="9"/>
      <c r="O69" s="9"/>
      <c r="P69" s="9"/>
      <c r="Q69" s="9"/>
      <c r="R69" s="9"/>
      <c r="S69" s="9"/>
      <c r="T69" s="9">
        <v>3200</v>
      </c>
      <c r="U69" s="9"/>
      <c r="V69" s="9"/>
      <c r="W69" s="9">
        <v>5000</v>
      </c>
      <c r="X69" s="9"/>
      <c r="Y69" s="9"/>
      <c r="Z69" s="9"/>
      <c r="AA69" s="9">
        <v>4500</v>
      </c>
      <c r="AB69" s="9"/>
      <c r="AC69" s="9"/>
      <c r="AD69" s="9"/>
      <c r="AE69" s="9">
        <v>6000</v>
      </c>
      <c r="AF69" s="9">
        <v>2000</v>
      </c>
      <c r="AG69" s="9">
        <v>5000</v>
      </c>
      <c r="AH69" s="9">
        <v>6300</v>
      </c>
      <c r="AI69" s="9"/>
      <c r="AJ69" s="9">
        <v>3052</v>
      </c>
      <c r="AK69" s="9">
        <v>5000</v>
      </c>
      <c r="AL69" s="9">
        <v>1500</v>
      </c>
      <c r="AM69" s="10">
        <f t="shared" si="4"/>
        <v>64866</v>
      </c>
    </row>
    <row r="70" spans="1:39" ht="12.75">
      <c r="A70" s="8" t="s">
        <v>58</v>
      </c>
      <c r="B70" s="9"/>
      <c r="C70" s="9"/>
      <c r="D70" s="9"/>
      <c r="E70" s="9"/>
      <c r="F70" s="9"/>
      <c r="G70" s="9"/>
      <c r="H70" s="9"/>
      <c r="I70" s="9">
        <v>500</v>
      </c>
      <c r="J70" s="9"/>
      <c r="K70" s="9"/>
      <c r="L70" s="9">
        <v>516</v>
      </c>
      <c r="M70" s="9"/>
      <c r="N70" s="9"/>
      <c r="O70" s="9"/>
      <c r="P70" s="9"/>
      <c r="Q70" s="9"/>
      <c r="R70" s="9"/>
      <c r="S70" s="9"/>
      <c r="T70" s="9">
        <v>1500</v>
      </c>
      <c r="U70" s="9"/>
      <c r="V70" s="9"/>
      <c r="W70" s="9"/>
      <c r="X70" s="9"/>
      <c r="Y70" s="9"/>
      <c r="Z70" s="9"/>
      <c r="AA70" s="9">
        <v>1500</v>
      </c>
      <c r="AB70" s="9"/>
      <c r="AC70" s="9"/>
      <c r="AD70" s="9"/>
      <c r="AE70" s="9">
        <v>500</v>
      </c>
      <c r="AF70" s="9"/>
      <c r="AG70" s="9">
        <v>1000</v>
      </c>
      <c r="AH70" s="9">
        <v>1020</v>
      </c>
      <c r="AI70" s="9"/>
      <c r="AJ70" s="9"/>
      <c r="AK70" s="9">
        <v>500</v>
      </c>
      <c r="AL70" s="9"/>
      <c r="AM70" s="10">
        <f t="shared" si="4"/>
        <v>7036</v>
      </c>
    </row>
    <row r="71" spans="1:39" ht="12.75">
      <c r="A71" s="8" t="s">
        <v>71</v>
      </c>
      <c r="B71" s="9"/>
      <c r="C71" s="9">
        <v>1000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10">
        <f t="shared" si="4"/>
        <v>1000</v>
      </c>
    </row>
    <row r="72" spans="1:39" ht="12.75">
      <c r="A72" s="8" t="s">
        <v>59</v>
      </c>
      <c r="B72" s="9"/>
      <c r="C72" s="9">
        <v>25440</v>
      </c>
      <c r="D72" s="9"/>
      <c r="E72" s="9"/>
      <c r="F72" s="9">
        <v>15887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>
        <v>12438</v>
      </c>
      <c r="AI72" s="9"/>
      <c r="AJ72" s="9"/>
      <c r="AK72" s="9"/>
      <c r="AL72" s="9"/>
      <c r="AM72" s="10">
        <f t="shared" si="4"/>
        <v>53765</v>
      </c>
    </row>
    <row r="73" spans="1:39" ht="12.75">
      <c r="A73" s="8" t="s">
        <v>60</v>
      </c>
      <c r="B73" s="9"/>
      <c r="C73" s="9"/>
      <c r="D73" s="9"/>
      <c r="E73" s="9"/>
      <c r="F73" s="9"/>
      <c r="G73" s="9"/>
      <c r="H73" s="9"/>
      <c r="I73" s="9">
        <v>1000</v>
      </c>
      <c r="J73" s="9">
        <v>1645</v>
      </c>
      <c r="K73" s="9"/>
      <c r="L73" s="9">
        <v>500</v>
      </c>
      <c r="M73" s="9"/>
      <c r="N73" s="9"/>
      <c r="O73" s="9"/>
      <c r="P73" s="9"/>
      <c r="Q73" s="9"/>
      <c r="R73" s="9"/>
      <c r="S73" s="9"/>
      <c r="T73" s="9">
        <v>1000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10">
        <f t="shared" si="4"/>
        <v>4145</v>
      </c>
    </row>
    <row r="74" spans="1:39" ht="12.75">
      <c r="A74" s="8" t="s">
        <v>61</v>
      </c>
      <c r="B74" s="9">
        <v>132884</v>
      </c>
      <c r="C74" s="9">
        <v>85313</v>
      </c>
      <c r="D74" s="9">
        <v>108679</v>
      </c>
      <c r="E74" s="9"/>
      <c r="F74" s="9">
        <v>125189</v>
      </c>
      <c r="G74" s="9">
        <v>70479</v>
      </c>
      <c r="H74" s="9"/>
      <c r="I74" s="9">
        <v>62847</v>
      </c>
      <c r="J74" s="9">
        <v>83581</v>
      </c>
      <c r="K74" s="9"/>
      <c r="L74" s="9">
        <v>51872</v>
      </c>
      <c r="M74" s="9"/>
      <c r="N74" s="9"/>
      <c r="O74" s="9"/>
      <c r="P74" s="9"/>
      <c r="Q74" s="9"/>
      <c r="R74" s="9"/>
      <c r="S74" s="9"/>
      <c r="T74" s="9">
        <v>109838</v>
      </c>
      <c r="U74" s="9"/>
      <c r="V74" s="9"/>
      <c r="W74" s="9">
        <v>106492</v>
      </c>
      <c r="X74" s="9"/>
      <c r="Y74" s="9"/>
      <c r="Z74" s="9"/>
      <c r="AA74" s="9">
        <v>90686</v>
      </c>
      <c r="AB74" s="9"/>
      <c r="AC74" s="9"/>
      <c r="AD74" s="9"/>
      <c r="AE74" s="9">
        <v>93568</v>
      </c>
      <c r="AF74" s="9">
        <v>89577</v>
      </c>
      <c r="AG74" s="9">
        <v>99920</v>
      </c>
      <c r="AH74" s="9">
        <v>111045</v>
      </c>
      <c r="AI74" s="9"/>
      <c r="AJ74" s="9">
        <v>70257</v>
      </c>
      <c r="AK74" s="9">
        <v>118165</v>
      </c>
      <c r="AL74" s="9">
        <v>60118</v>
      </c>
      <c r="AM74" s="10">
        <f t="shared" si="4"/>
        <v>1670510</v>
      </c>
    </row>
    <row r="75" spans="1:39" ht="12.75">
      <c r="A75" s="8" t="s">
        <v>62</v>
      </c>
      <c r="B75" s="9"/>
      <c r="C75" s="9">
        <v>2000</v>
      </c>
      <c r="D75" s="9"/>
      <c r="E75" s="9"/>
      <c r="F75" s="9"/>
      <c r="G75" s="9"/>
      <c r="H75" s="9"/>
      <c r="I75" s="9"/>
      <c r="J75" s="9"/>
      <c r="K75" s="9"/>
      <c r="L75" s="9">
        <v>900</v>
      </c>
      <c r="M75" s="9"/>
      <c r="N75" s="9"/>
      <c r="O75" s="9"/>
      <c r="P75" s="9"/>
      <c r="Q75" s="9"/>
      <c r="R75" s="9"/>
      <c r="S75" s="9"/>
      <c r="T75" s="9">
        <v>1000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>
        <v>1600</v>
      </c>
      <c r="AI75" s="9"/>
      <c r="AJ75" s="9"/>
      <c r="AK75" s="9"/>
      <c r="AL75" s="9"/>
      <c r="AM75" s="10">
        <f t="shared" si="4"/>
        <v>5500</v>
      </c>
    </row>
    <row r="76" spans="1:39" ht="12.75">
      <c r="A76" s="8" t="s">
        <v>63</v>
      </c>
      <c r="B76" s="9">
        <v>3400</v>
      </c>
      <c r="C76" s="9">
        <v>500</v>
      </c>
      <c r="D76" s="9">
        <v>600</v>
      </c>
      <c r="E76" s="9"/>
      <c r="F76" s="9"/>
      <c r="G76" s="9">
        <v>2000</v>
      </c>
      <c r="H76" s="9"/>
      <c r="I76" s="9">
        <v>100</v>
      </c>
      <c r="J76" s="9">
        <v>1175</v>
      </c>
      <c r="K76" s="9"/>
      <c r="L76" s="9">
        <v>2000</v>
      </c>
      <c r="M76" s="9"/>
      <c r="N76" s="9"/>
      <c r="O76" s="9"/>
      <c r="P76" s="9"/>
      <c r="Q76" s="9"/>
      <c r="R76" s="9"/>
      <c r="S76" s="9"/>
      <c r="T76" s="9">
        <v>2000</v>
      </c>
      <c r="U76" s="9"/>
      <c r="V76" s="9"/>
      <c r="W76" s="9">
        <v>1000</v>
      </c>
      <c r="X76" s="9"/>
      <c r="Y76" s="9"/>
      <c r="Z76" s="9"/>
      <c r="AA76" s="9">
        <v>2568</v>
      </c>
      <c r="AB76" s="9"/>
      <c r="AC76" s="9"/>
      <c r="AD76" s="9"/>
      <c r="AE76" s="9">
        <v>2000</v>
      </c>
      <c r="AF76" s="9">
        <v>2000</v>
      </c>
      <c r="AG76" s="9">
        <v>1000</v>
      </c>
      <c r="AH76" s="9">
        <v>220</v>
      </c>
      <c r="AI76" s="9"/>
      <c r="AJ76" s="9">
        <v>1300</v>
      </c>
      <c r="AK76" s="9"/>
      <c r="AL76" s="9">
        <v>500</v>
      </c>
      <c r="AM76" s="10">
        <f t="shared" si="4"/>
        <v>22363</v>
      </c>
    </row>
    <row r="77" spans="1:39" ht="12.75">
      <c r="A77" s="8" t="s">
        <v>64</v>
      </c>
      <c r="B77" s="9">
        <v>4400</v>
      </c>
      <c r="C77" s="9">
        <v>3000</v>
      </c>
      <c r="D77" s="9">
        <v>2000</v>
      </c>
      <c r="E77" s="9"/>
      <c r="F77" s="9">
        <v>2000</v>
      </c>
      <c r="G77" s="9">
        <v>2000</v>
      </c>
      <c r="H77" s="9"/>
      <c r="I77" s="9">
        <v>600</v>
      </c>
      <c r="J77" s="9">
        <v>3290</v>
      </c>
      <c r="K77" s="9"/>
      <c r="L77" s="9">
        <v>1000</v>
      </c>
      <c r="M77" s="9"/>
      <c r="N77" s="9"/>
      <c r="O77" s="9"/>
      <c r="P77" s="9"/>
      <c r="Q77" s="9"/>
      <c r="R77" s="9"/>
      <c r="S77" s="9"/>
      <c r="T77" s="9">
        <v>3500</v>
      </c>
      <c r="U77" s="9"/>
      <c r="V77" s="9"/>
      <c r="W77" s="9">
        <v>1000</v>
      </c>
      <c r="X77" s="9"/>
      <c r="Y77" s="9"/>
      <c r="Z77" s="9"/>
      <c r="AA77" s="9">
        <v>500</v>
      </c>
      <c r="AB77" s="9"/>
      <c r="AC77" s="9"/>
      <c r="AD77" s="9"/>
      <c r="AE77" s="9">
        <v>3000</v>
      </c>
      <c r="AF77" s="9">
        <v>1000</v>
      </c>
      <c r="AG77" s="9">
        <v>1500</v>
      </c>
      <c r="AH77" s="9">
        <v>2200</v>
      </c>
      <c r="AI77" s="9"/>
      <c r="AJ77" s="9">
        <v>1252</v>
      </c>
      <c r="AK77" s="9">
        <v>1400</v>
      </c>
      <c r="AL77" s="9">
        <v>5000</v>
      </c>
      <c r="AM77" s="10">
        <f t="shared" si="4"/>
        <v>38642</v>
      </c>
    </row>
    <row r="78" spans="1:39" ht="12.75">
      <c r="A78" s="8" t="s">
        <v>72</v>
      </c>
      <c r="B78" s="10">
        <f aca="true" t="shared" si="5" ref="B78:AL78">SUM(B51:B77)</f>
        <v>3452791</v>
      </c>
      <c r="C78" s="10">
        <f t="shared" si="5"/>
        <v>2327547</v>
      </c>
      <c r="D78" s="10">
        <f t="shared" si="5"/>
        <v>2665733</v>
      </c>
      <c r="E78" s="10">
        <f t="shared" si="5"/>
        <v>0</v>
      </c>
      <c r="F78" s="10">
        <f t="shared" si="5"/>
        <v>3219366</v>
      </c>
      <c r="G78" s="10">
        <f t="shared" si="5"/>
        <v>1568352</v>
      </c>
      <c r="H78" s="10">
        <f t="shared" si="5"/>
        <v>0</v>
      </c>
      <c r="I78" s="10">
        <f t="shared" si="5"/>
        <v>1552193</v>
      </c>
      <c r="J78" s="10">
        <f t="shared" si="5"/>
        <v>2070326</v>
      </c>
      <c r="K78" s="10">
        <f t="shared" si="5"/>
        <v>0</v>
      </c>
      <c r="L78" s="10">
        <f t="shared" si="5"/>
        <v>1228595</v>
      </c>
      <c r="M78" s="10">
        <f t="shared" si="5"/>
        <v>0</v>
      </c>
      <c r="N78" s="10">
        <f t="shared" si="5"/>
        <v>0</v>
      </c>
      <c r="O78" s="10">
        <f t="shared" si="5"/>
        <v>0</v>
      </c>
      <c r="P78" s="10">
        <f t="shared" si="5"/>
        <v>0</v>
      </c>
      <c r="Q78" s="10">
        <f t="shared" si="5"/>
        <v>0</v>
      </c>
      <c r="R78" s="10">
        <f t="shared" si="5"/>
        <v>0</v>
      </c>
      <c r="S78" s="10">
        <f t="shared" si="5"/>
        <v>0</v>
      </c>
      <c r="T78" s="10">
        <f t="shared" si="5"/>
        <v>2871954</v>
      </c>
      <c r="U78" s="10">
        <f t="shared" si="5"/>
        <v>0</v>
      </c>
      <c r="V78" s="10">
        <f t="shared" si="5"/>
        <v>0</v>
      </c>
      <c r="W78" s="10">
        <f t="shared" si="5"/>
        <v>2681845</v>
      </c>
      <c r="X78" s="10">
        <f t="shared" si="5"/>
        <v>0</v>
      </c>
      <c r="Y78" s="10">
        <f t="shared" si="5"/>
        <v>0</v>
      </c>
      <c r="Z78" s="10">
        <f t="shared" si="5"/>
        <v>0</v>
      </c>
      <c r="AA78" s="10">
        <f t="shared" si="5"/>
        <v>2171517</v>
      </c>
      <c r="AB78" s="10">
        <f t="shared" si="5"/>
        <v>0</v>
      </c>
      <c r="AC78" s="10">
        <f t="shared" si="5"/>
        <v>0</v>
      </c>
      <c r="AD78" s="10">
        <f t="shared" si="5"/>
        <v>0</v>
      </c>
      <c r="AE78" s="10">
        <f t="shared" si="5"/>
        <v>2131820</v>
      </c>
      <c r="AF78" s="10">
        <f t="shared" si="5"/>
        <v>2059463</v>
      </c>
      <c r="AG78" s="10">
        <f t="shared" si="5"/>
        <v>2476572</v>
      </c>
      <c r="AH78" s="10">
        <f t="shared" si="5"/>
        <v>2624992</v>
      </c>
      <c r="AI78" s="10">
        <f t="shared" si="5"/>
        <v>0</v>
      </c>
      <c r="AJ78" s="10">
        <f t="shared" si="5"/>
        <v>1774823</v>
      </c>
      <c r="AK78" s="10">
        <f t="shared" si="5"/>
        <v>2930166</v>
      </c>
      <c r="AL78" s="10">
        <f t="shared" si="5"/>
        <v>1476336</v>
      </c>
      <c r="AM78" s="10">
        <f t="shared" si="4"/>
        <v>41284391</v>
      </c>
    </row>
    <row r="79" spans="1:39" ht="12.75">
      <c r="A79" s="8" t="s">
        <v>53</v>
      </c>
      <c r="B79" s="9"/>
      <c r="C79" s="9"/>
      <c r="D79" s="9">
        <v>3500</v>
      </c>
      <c r="E79" s="9"/>
      <c r="F79" s="9"/>
      <c r="G79" s="9">
        <v>22000</v>
      </c>
      <c r="H79" s="9">
        <v>13500</v>
      </c>
      <c r="I79" s="9">
        <v>7565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>
        <v>13000</v>
      </c>
      <c r="V79" s="9"/>
      <c r="W79" s="9"/>
      <c r="X79" s="9"/>
      <c r="Y79" s="9">
        <v>24360</v>
      </c>
      <c r="Z79" s="9"/>
      <c r="AA79" s="9"/>
      <c r="AB79" s="9"/>
      <c r="AC79" s="9"/>
      <c r="AD79" s="9"/>
      <c r="AE79" s="9"/>
      <c r="AF79" s="9"/>
      <c r="AG79" s="9">
        <v>12285</v>
      </c>
      <c r="AH79" s="9"/>
      <c r="AI79" s="9"/>
      <c r="AJ79" s="9"/>
      <c r="AK79" s="9">
        <v>24100</v>
      </c>
      <c r="AL79" s="9">
        <v>12408</v>
      </c>
      <c r="AM79" s="10">
        <f t="shared" si="4"/>
        <v>132718</v>
      </c>
    </row>
    <row r="80" spans="1:39" ht="12.75">
      <c r="A80" s="8" t="s">
        <v>73</v>
      </c>
      <c r="B80" s="10">
        <f aca="true" t="shared" si="6" ref="B80:AL80">SUM(B79:B79)</f>
        <v>0</v>
      </c>
      <c r="C80" s="10">
        <f t="shared" si="6"/>
        <v>0</v>
      </c>
      <c r="D80" s="10">
        <f t="shared" si="6"/>
        <v>3500</v>
      </c>
      <c r="E80" s="10">
        <f t="shared" si="6"/>
        <v>0</v>
      </c>
      <c r="F80" s="10">
        <f t="shared" si="6"/>
        <v>0</v>
      </c>
      <c r="G80" s="10">
        <f t="shared" si="6"/>
        <v>22000</v>
      </c>
      <c r="H80" s="10">
        <f t="shared" si="6"/>
        <v>13500</v>
      </c>
      <c r="I80" s="10">
        <f t="shared" si="6"/>
        <v>7565</v>
      </c>
      <c r="J80" s="10">
        <f t="shared" si="6"/>
        <v>0</v>
      </c>
      <c r="K80" s="10">
        <f t="shared" si="6"/>
        <v>0</v>
      </c>
      <c r="L80" s="10">
        <f t="shared" si="6"/>
        <v>0</v>
      </c>
      <c r="M80" s="10">
        <f t="shared" si="6"/>
        <v>0</v>
      </c>
      <c r="N80" s="10">
        <f t="shared" si="6"/>
        <v>0</v>
      </c>
      <c r="O80" s="10">
        <f t="shared" si="6"/>
        <v>0</v>
      </c>
      <c r="P80" s="10">
        <f t="shared" si="6"/>
        <v>0</v>
      </c>
      <c r="Q80" s="10">
        <f t="shared" si="6"/>
        <v>0</v>
      </c>
      <c r="R80" s="10">
        <f t="shared" si="6"/>
        <v>0</v>
      </c>
      <c r="S80" s="10">
        <f t="shared" si="6"/>
        <v>0</v>
      </c>
      <c r="T80" s="10">
        <f t="shared" si="6"/>
        <v>0</v>
      </c>
      <c r="U80" s="10">
        <f t="shared" si="6"/>
        <v>13000</v>
      </c>
      <c r="V80" s="10">
        <f t="shared" si="6"/>
        <v>0</v>
      </c>
      <c r="W80" s="10">
        <f t="shared" si="6"/>
        <v>0</v>
      </c>
      <c r="X80" s="10">
        <f t="shared" si="6"/>
        <v>0</v>
      </c>
      <c r="Y80" s="10">
        <f t="shared" si="6"/>
        <v>24360</v>
      </c>
      <c r="Z80" s="10">
        <f t="shared" si="6"/>
        <v>0</v>
      </c>
      <c r="AA80" s="10">
        <f t="shared" si="6"/>
        <v>0</v>
      </c>
      <c r="AB80" s="10">
        <f t="shared" si="6"/>
        <v>0</v>
      </c>
      <c r="AC80" s="10">
        <f t="shared" si="6"/>
        <v>0</v>
      </c>
      <c r="AD80" s="10">
        <f t="shared" si="6"/>
        <v>0</v>
      </c>
      <c r="AE80" s="10">
        <f t="shared" si="6"/>
        <v>0</v>
      </c>
      <c r="AF80" s="10">
        <f t="shared" si="6"/>
        <v>0</v>
      </c>
      <c r="AG80" s="10">
        <f t="shared" si="6"/>
        <v>12285</v>
      </c>
      <c r="AH80" s="10">
        <f t="shared" si="6"/>
        <v>0</v>
      </c>
      <c r="AI80" s="10">
        <f t="shared" si="6"/>
        <v>0</v>
      </c>
      <c r="AJ80" s="10">
        <f t="shared" si="6"/>
        <v>0</v>
      </c>
      <c r="AK80" s="10">
        <f t="shared" si="6"/>
        <v>24100</v>
      </c>
      <c r="AL80" s="10">
        <f t="shared" si="6"/>
        <v>12408</v>
      </c>
      <c r="AM80" s="10">
        <f t="shared" si="4"/>
        <v>132718</v>
      </c>
    </row>
    <row r="81" spans="1:39" ht="12.75">
      <c r="A81" s="8" t="s">
        <v>40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>
        <f>1500+2076</f>
        <v>3576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>
        <f>4300+4531</f>
        <v>8831</v>
      </c>
      <c r="AB81" s="9"/>
      <c r="AC81" s="9"/>
      <c r="AD81" s="9"/>
      <c r="AE81" s="9">
        <f>3058+3713</f>
        <v>6771</v>
      </c>
      <c r="AF81" s="9"/>
      <c r="AG81" s="9"/>
      <c r="AH81" s="9"/>
      <c r="AI81" s="9"/>
      <c r="AJ81" s="9"/>
      <c r="AK81" s="9"/>
      <c r="AL81" s="9"/>
      <c r="AM81" s="10">
        <f t="shared" si="4"/>
        <v>19178</v>
      </c>
    </row>
    <row r="82" spans="1:39" ht="12.75">
      <c r="A82" s="8" t="s">
        <v>41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>
        <v>844013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>
        <v>2134640</v>
      </c>
      <c r="AB82" s="9"/>
      <c r="AC82" s="9"/>
      <c r="AD82" s="9"/>
      <c r="AE82" s="9">
        <v>1580783</v>
      </c>
      <c r="AF82" s="9"/>
      <c r="AG82" s="9"/>
      <c r="AH82" s="9"/>
      <c r="AI82" s="9"/>
      <c r="AJ82" s="9"/>
      <c r="AK82" s="9"/>
      <c r="AL82" s="9"/>
      <c r="AM82" s="10">
        <f t="shared" si="4"/>
        <v>4559436</v>
      </c>
    </row>
    <row r="83" spans="1:39" ht="12.75">
      <c r="A83" s="8" t="s">
        <v>42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>
        <v>67932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>
        <v>166553</v>
      </c>
      <c r="AB83" s="9"/>
      <c r="AC83" s="9"/>
      <c r="AD83" s="9"/>
      <c r="AE83" s="9">
        <v>120435</v>
      </c>
      <c r="AF83" s="9"/>
      <c r="AG83" s="9"/>
      <c r="AH83" s="9"/>
      <c r="AI83" s="9"/>
      <c r="AJ83" s="9"/>
      <c r="AK83" s="9"/>
      <c r="AL83" s="9"/>
      <c r="AM83" s="10">
        <f t="shared" si="4"/>
        <v>354920</v>
      </c>
    </row>
    <row r="84" spans="1:39" ht="12.75">
      <c r="A84" s="8" t="s">
        <v>43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>
        <v>139577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>
        <v>352230</v>
      </c>
      <c r="AB84" s="9"/>
      <c r="AC84" s="9"/>
      <c r="AD84" s="9"/>
      <c r="AE84" s="9">
        <v>260329</v>
      </c>
      <c r="AF84" s="9"/>
      <c r="AG84" s="9"/>
      <c r="AH84" s="9"/>
      <c r="AI84" s="9"/>
      <c r="AJ84" s="9"/>
      <c r="AK84" s="9"/>
      <c r="AL84" s="9"/>
      <c r="AM84" s="10">
        <f t="shared" si="4"/>
        <v>752136</v>
      </c>
    </row>
    <row r="85" spans="1:39" ht="12.75">
      <c r="A85" s="8" t="s">
        <v>44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>
        <v>22205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>
        <v>56037</v>
      </c>
      <c r="AB85" s="9"/>
      <c r="AC85" s="9"/>
      <c r="AD85" s="9"/>
      <c r="AE85" s="9">
        <v>41415</v>
      </c>
      <c r="AF85" s="9"/>
      <c r="AG85" s="9"/>
      <c r="AH85" s="9"/>
      <c r="AI85" s="9"/>
      <c r="AJ85" s="9"/>
      <c r="AK85" s="9"/>
      <c r="AL85" s="9"/>
      <c r="AM85" s="10">
        <f t="shared" si="4"/>
        <v>119657</v>
      </c>
    </row>
    <row r="86" spans="1:39" ht="12.75">
      <c r="A86" s="8" t="s">
        <v>45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>
        <v>8000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>
        <v>4800</v>
      </c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10">
        <f t="shared" si="4"/>
        <v>12800</v>
      </c>
    </row>
    <row r="87" spans="1:39" ht="12.75">
      <c r="A87" s="8" t="s">
        <v>46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>
        <v>1000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>
        <v>1500</v>
      </c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10">
        <f t="shared" si="4"/>
        <v>2500</v>
      </c>
    </row>
    <row r="88" spans="1:39" ht="12.75">
      <c r="A88" s="8" t="s">
        <v>47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>
        <v>3000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>
        <f>12032+2000</f>
        <v>14032</v>
      </c>
      <c r="AB88" s="9"/>
      <c r="AC88" s="9"/>
      <c r="AD88" s="9"/>
      <c r="AE88" s="9">
        <v>9990</v>
      </c>
      <c r="AF88" s="9"/>
      <c r="AG88" s="9"/>
      <c r="AH88" s="9"/>
      <c r="AI88" s="9"/>
      <c r="AJ88" s="9"/>
      <c r="AK88" s="9"/>
      <c r="AL88" s="9"/>
      <c r="AM88" s="10">
        <f t="shared" si="4"/>
        <v>27022</v>
      </c>
    </row>
    <row r="89" spans="1:39" ht="12.75">
      <c r="A89" s="8" t="s">
        <v>49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>
        <v>2000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>
        <f>5000+2000</f>
        <v>7000</v>
      </c>
      <c r="AB89" s="9"/>
      <c r="AC89" s="9"/>
      <c r="AD89" s="9"/>
      <c r="AE89" s="9">
        <v>3500</v>
      </c>
      <c r="AF89" s="9"/>
      <c r="AG89" s="9"/>
      <c r="AH89" s="9"/>
      <c r="AI89" s="9"/>
      <c r="AJ89" s="9"/>
      <c r="AK89" s="9"/>
      <c r="AL89" s="9"/>
      <c r="AM89" s="10">
        <f t="shared" si="4"/>
        <v>12500</v>
      </c>
    </row>
    <row r="90" spans="1:39" ht="12.75">
      <c r="A90" s="8" t="s">
        <v>50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>
        <v>48772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>
        <v>122291</v>
      </c>
      <c r="AB90" s="9"/>
      <c r="AC90" s="9"/>
      <c r="AD90" s="9"/>
      <c r="AE90" s="9">
        <v>159765</v>
      </c>
      <c r="AF90" s="9"/>
      <c r="AG90" s="9"/>
      <c r="AH90" s="9"/>
      <c r="AI90" s="9"/>
      <c r="AJ90" s="9"/>
      <c r="AK90" s="9"/>
      <c r="AL90" s="9"/>
      <c r="AM90" s="10">
        <f t="shared" si="4"/>
        <v>330828</v>
      </c>
    </row>
    <row r="91" spans="1:39" ht="12.75">
      <c r="A91" s="8" t="s">
        <v>51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>
        <f>4000+100000</f>
        <v>104000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>
        <f>2000+5000+80000</f>
        <v>87000</v>
      </c>
      <c r="AB91" s="9"/>
      <c r="AC91" s="9"/>
      <c r="AD91" s="9"/>
      <c r="AE91" s="9">
        <f>1500+100000</f>
        <v>101500</v>
      </c>
      <c r="AF91" s="9"/>
      <c r="AG91" s="9"/>
      <c r="AH91" s="9"/>
      <c r="AI91" s="9"/>
      <c r="AJ91" s="9"/>
      <c r="AK91" s="9"/>
      <c r="AL91" s="9"/>
      <c r="AM91" s="10">
        <f t="shared" si="4"/>
        <v>292500</v>
      </c>
    </row>
    <row r="92" spans="1:39" ht="12.75">
      <c r="A92" s="8" t="s">
        <v>52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>
        <v>1500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>
        <v>2500</v>
      </c>
      <c r="AB92" s="9"/>
      <c r="AC92" s="9"/>
      <c r="AD92" s="9"/>
      <c r="AE92" s="9">
        <v>2800</v>
      </c>
      <c r="AF92" s="9"/>
      <c r="AG92" s="9"/>
      <c r="AH92" s="9"/>
      <c r="AI92" s="9"/>
      <c r="AJ92" s="9"/>
      <c r="AK92" s="9"/>
      <c r="AL92" s="9"/>
      <c r="AM92" s="10">
        <f t="shared" si="4"/>
        <v>6800</v>
      </c>
    </row>
    <row r="93" spans="1:39" ht="12.75">
      <c r="A93" s="8" t="s">
        <v>53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>
        <v>2000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>
        <v>14326</v>
      </c>
      <c r="AB93" s="9"/>
      <c r="AC93" s="9"/>
      <c r="AD93" s="9"/>
      <c r="AE93" s="9">
        <v>12804</v>
      </c>
      <c r="AF93" s="9"/>
      <c r="AG93" s="9"/>
      <c r="AH93" s="9"/>
      <c r="AI93" s="9"/>
      <c r="AJ93" s="9"/>
      <c r="AK93" s="9"/>
      <c r="AL93" s="9"/>
      <c r="AM93" s="10">
        <f t="shared" si="4"/>
        <v>29130</v>
      </c>
    </row>
    <row r="94" spans="1:39" ht="12.75">
      <c r="A94" s="8" t="s">
        <v>55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>
        <v>500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>
        <v>1100</v>
      </c>
      <c r="AB94" s="9"/>
      <c r="AC94" s="9"/>
      <c r="AD94" s="9"/>
      <c r="AE94" s="9">
        <v>200</v>
      </c>
      <c r="AF94" s="9"/>
      <c r="AG94" s="9"/>
      <c r="AH94" s="9"/>
      <c r="AI94" s="9"/>
      <c r="AJ94" s="9"/>
      <c r="AK94" s="9"/>
      <c r="AL94" s="9"/>
      <c r="AM94" s="10">
        <f t="shared" si="4"/>
        <v>1800</v>
      </c>
    </row>
    <row r="95" spans="1:39" ht="12.75">
      <c r="A95" s="8" t="s">
        <v>56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>
        <v>1000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>
        <v>210</v>
      </c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10">
        <f t="shared" si="4"/>
        <v>1210</v>
      </c>
    </row>
    <row r="96" spans="1:39" ht="12.75">
      <c r="A96" s="8" t="s">
        <v>57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>
        <v>1000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>
        <v>5000</v>
      </c>
      <c r="AB96" s="9"/>
      <c r="AC96" s="9"/>
      <c r="AD96" s="9"/>
      <c r="AE96" s="9">
        <v>6000</v>
      </c>
      <c r="AF96" s="9"/>
      <c r="AG96" s="9"/>
      <c r="AH96" s="9"/>
      <c r="AI96" s="9"/>
      <c r="AJ96" s="9"/>
      <c r="AK96" s="9"/>
      <c r="AL96" s="9"/>
      <c r="AM96" s="10">
        <f t="shared" si="4"/>
        <v>12000</v>
      </c>
    </row>
    <row r="97" spans="1:39" ht="12.75">
      <c r="A97" s="8" t="s">
        <v>58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>
        <v>592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>
        <v>1800</v>
      </c>
      <c r="AB97" s="9"/>
      <c r="AC97" s="9"/>
      <c r="AD97" s="9"/>
      <c r="AE97" s="9">
        <v>400</v>
      </c>
      <c r="AF97" s="9"/>
      <c r="AG97" s="9"/>
      <c r="AH97" s="9"/>
      <c r="AI97" s="9"/>
      <c r="AJ97" s="9"/>
      <c r="AK97" s="9"/>
      <c r="AL97" s="9"/>
      <c r="AM97" s="10">
        <f t="shared" si="4"/>
        <v>2792</v>
      </c>
    </row>
    <row r="98" spans="1:39" ht="12.75">
      <c r="A98" s="8" t="s">
        <v>60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>
        <v>1000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>
        <v>1500</v>
      </c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0">
        <f t="shared" si="4"/>
        <v>2500</v>
      </c>
    </row>
    <row r="99" spans="1:39" ht="12.75">
      <c r="A99" s="8" t="s">
        <v>61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>
        <v>55510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>
        <v>117682</v>
      </c>
      <c r="AB99" s="9"/>
      <c r="AC99" s="9"/>
      <c r="AD99" s="9"/>
      <c r="AE99" s="9">
        <v>105798</v>
      </c>
      <c r="AF99" s="9"/>
      <c r="AG99" s="9"/>
      <c r="AH99" s="9"/>
      <c r="AI99" s="9"/>
      <c r="AJ99" s="9"/>
      <c r="AK99" s="9"/>
      <c r="AL99" s="9"/>
      <c r="AM99" s="10">
        <f t="shared" si="4"/>
        <v>278990</v>
      </c>
    </row>
    <row r="100" spans="1:39" ht="12.75">
      <c r="A100" s="8" t="s">
        <v>62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>
        <v>1000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0">
        <f aca="true" t="shared" si="7" ref="AM100:AM131">SUM(B100:AL100)</f>
        <v>1000</v>
      </c>
    </row>
    <row r="101" spans="1:39" ht="12.75">
      <c r="A101" s="8" t="s">
        <v>63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>
        <v>1500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>
        <v>4000</v>
      </c>
      <c r="AB101" s="9"/>
      <c r="AC101" s="9"/>
      <c r="AD101" s="9"/>
      <c r="AE101" s="9">
        <v>1200</v>
      </c>
      <c r="AF101" s="9"/>
      <c r="AG101" s="9"/>
      <c r="AH101" s="9"/>
      <c r="AI101" s="9"/>
      <c r="AJ101" s="9"/>
      <c r="AK101" s="9"/>
      <c r="AL101" s="9"/>
      <c r="AM101" s="10">
        <f t="shared" si="7"/>
        <v>6700</v>
      </c>
    </row>
    <row r="102" spans="1:39" ht="12.75">
      <c r="A102" s="8" t="s">
        <v>64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>
        <v>2600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>
        <v>1000</v>
      </c>
      <c r="AB102" s="9"/>
      <c r="AC102" s="9"/>
      <c r="AD102" s="9"/>
      <c r="AE102" s="9">
        <v>2500</v>
      </c>
      <c r="AF102" s="9"/>
      <c r="AG102" s="9"/>
      <c r="AH102" s="9"/>
      <c r="AI102" s="9"/>
      <c r="AJ102" s="9"/>
      <c r="AK102" s="9"/>
      <c r="AL102" s="9"/>
      <c r="AM102" s="10">
        <f t="shared" si="7"/>
        <v>6100</v>
      </c>
    </row>
    <row r="103" spans="1:39" ht="12.75">
      <c r="A103" s="8" t="s">
        <v>66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>
        <v>250000</v>
      </c>
      <c r="AF103" s="9"/>
      <c r="AG103" s="9"/>
      <c r="AH103" s="9"/>
      <c r="AI103" s="9"/>
      <c r="AJ103" s="9"/>
      <c r="AK103" s="9"/>
      <c r="AL103" s="9"/>
      <c r="AM103" s="10">
        <f t="shared" si="7"/>
        <v>250000</v>
      </c>
    </row>
    <row r="104" spans="1:39" ht="12.75">
      <c r="A104" s="8" t="s">
        <v>74</v>
      </c>
      <c r="B104" s="10">
        <f aca="true" t="shared" si="8" ref="B104:AL104">SUM(B81:B103)</f>
        <v>0</v>
      </c>
      <c r="C104" s="10">
        <f t="shared" si="8"/>
        <v>0</v>
      </c>
      <c r="D104" s="10">
        <f t="shared" si="8"/>
        <v>0</v>
      </c>
      <c r="E104" s="10">
        <f t="shared" si="8"/>
        <v>0</v>
      </c>
      <c r="F104" s="10">
        <f t="shared" si="8"/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10">
        <f t="shared" si="8"/>
        <v>1312277</v>
      </c>
      <c r="M104" s="10">
        <f t="shared" si="8"/>
        <v>0</v>
      </c>
      <c r="N104" s="10">
        <f t="shared" si="8"/>
        <v>0</v>
      </c>
      <c r="O104" s="10">
        <f t="shared" si="8"/>
        <v>0</v>
      </c>
      <c r="P104" s="10">
        <f t="shared" si="8"/>
        <v>0</v>
      </c>
      <c r="Q104" s="10">
        <f t="shared" si="8"/>
        <v>0</v>
      </c>
      <c r="R104" s="10">
        <f t="shared" si="8"/>
        <v>0</v>
      </c>
      <c r="S104" s="10">
        <f t="shared" si="8"/>
        <v>0</v>
      </c>
      <c r="T104" s="10">
        <f t="shared" si="8"/>
        <v>0</v>
      </c>
      <c r="U104" s="10">
        <f t="shared" si="8"/>
        <v>0</v>
      </c>
      <c r="V104" s="10">
        <f t="shared" si="8"/>
        <v>0</v>
      </c>
      <c r="W104" s="10">
        <f t="shared" si="8"/>
        <v>0</v>
      </c>
      <c r="X104" s="10">
        <f t="shared" si="8"/>
        <v>0</v>
      </c>
      <c r="Y104" s="10">
        <f t="shared" si="8"/>
        <v>0</v>
      </c>
      <c r="Z104" s="10">
        <f t="shared" si="8"/>
        <v>0</v>
      </c>
      <c r="AA104" s="10">
        <f t="shared" si="8"/>
        <v>3104032</v>
      </c>
      <c r="AB104" s="10">
        <f t="shared" si="8"/>
        <v>0</v>
      </c>
      <c r="AC104" s="10">
        <f t="shared" si="8"/>
        <v>0</v>
      </c>
      <c r="AD104" s="10">
        <f t="shared" si="8"/>
        <v>0</v>
      </c>
      <c r="AE104" s="10">
        <f t="shared" si="8"/>
        <v>2666190</v>
      </c>
      <c r="AF104" s="10">
        <f t="shared" si="8"/>
        <v>0</v>
      </c>
      <c r="AG104" s="10">
        <f t="shared" si="8"/>
        <v>0</v>
      </c>
      <c r="AH104" s="10">
        <f t="shared" si="8"/>
        <v>0</v>
      </c>
      <c r="AI104" s="10">
        <f t="shared" si="8"/>
        <v>0</v>
      </c>
      <c r="AJ104" s="10">
        <f t="shared" si="8"/>
        <v>0</v>
      </c>
      <c r="AK104" s="10">
        <f t="shared" si="8"/>
        <v>0</v>
      </c>
      <c r="AL104" s="10">
        <f t="shared" si="8"/>
        <v>0</v>
      </c>
      <c r="AM104" s="10">
        <f t="shared" si="7"/>
        <v>7082499</v>
      </c>
    </row>
    <row r="105" spans="1:39" ht="12.75">
      <c r="A105" s="8" t="s">
        <v>40</v>
      </c>
      <c r="B105" s="9"/>
      <c r="C105" s="9"/>
      <c r="D105" s="9"/>
      <c r="E105" s="9"/>
      <c r="F105" s="9"/>
      <c r="G105" s="9"/>
      <c r="H105" s="9"/>
      <c r="I105" s="9"/>
      <c r="J105" s="9">
        <v>500</v>
      </c>
      <c r="K105" s="9">
        <v>500</v>
      </c>
      <c r="L105" s="9"/>
      <c r="M105" s="9">
        <v>500</v>
      </c>
      <c r="N105" s="9">
        <v>300</v>
      </c>
      <c r="O105" s="9"/>
      <c r="P105" s="9">
        <v>500</v>
      </c>
      <c r="Q105" s="9">
        <v>800</v>
      </c>
      <c r="R105" s="9">
        <v>200</v>
      </c>
      <c r="S105" s="9">
        <v>420</v>
      </c>
      <c r="T105" s="9"/>
      <c r="U105" s="9"/>
      <c r="V105" s="9">
        <v>500</v>
      </c>
      <c r="W105" s="9">
        <v>500</v>
      </c>
      <c r="X105" s="9">
        <v>1500</v>
      </c>
      <c r="Y105" s="9">
        <v>700</v>
      </c>
      <c r="Z105" s="9">
        <v>350</v>
      </c>
      <c r="AA105" s="9"/>
      <c r="AB105" s="9"/>
      <c r="AC105" s="9">
        <v>500</v>
      </c>
      <c r="AD105" s="9">
        <v>800</v>
      </c>
      <c r="AE105" s="9"/>
      <c r="AF105" s="9"/>
      <c r="AG105" s="9"/>
      <c r="AH105" s="9"/>
      <c r="AI105" s="9"/>
      <c r="AJ105" s="9"/>
      <c r="AK105" s="9">
        <v>300</v>
      </c>
      <c r="AL105" s="9"/>
      <c r="AM105" s="10">
        <f t="shared" si="7"/>
        <v>8870</v>
      </c>
    </row>
    <row r="106" spans="1:39" ht="12.75">
      <c r="A106" s="8" t="s">
        <v>41</v>
      </c>
      <c r="B106" s="9"/>
      <c r="C106" s="9">
        <v>83217</v>
      </c>
      <c r="D106" s="9">
        <v>56147</v>
      </c>
      <c r="E106" s="9">
        <v>94772</v>
      </c>
      <c r="F106" s="9">
        <v>57589</v>
      </c>
      <c r="G106" s="9">
        <v>108595</v>
      </c>
      <c r="H106" s="9">
        <v>109861</v>
      </c>
      <c r="I106" s="9">
        <v>84577</v>
      </c>
      <c r="J106" s="9">
        <v>111141</v>
      </c>
      <c r="K106" s="9">
        <v>53330</v>
      </c>
      <c r="L106" s="9">
        <v>111834</v>
      </c>
      <c r="M106" s="9">
        <v>73076</v>
      </c>
      <c r="N106" s="9">
        <v>83738</v>
      </c>
      <c r="O106" s="9">
        <v>103727</v>
      </c>
      <c r="P106" s="9">
        <v>67914</v>
      </c>
      <c r="Q106" s="9">
        <v>100162</v>
      </c>
      <c r="R106" s="9">
        <v>61211</v>
      </c>
      <c r="S106" s="9">
        <v>76519</v>
      </c>
      <c r="T106" s="9">
        <v>52625</v>
      </c>
      <c r="U106" s="9">
        <v>93392</v>
      </c>
      <c r="V106" s="9">
        <v>80370</v>
      </c>
      <c r="W106" s="9">
        <v>127927</v>
      </c>
      <c r="X106" s="9">
        <v>114550</v>
      </c>
      <c r="Y106" s="9">
        <v>84362</v>
      </c>
      <c r="Z106" s="9">
        <v>94867</v>
      </c>
      <c r="AA106" s="9">
        <v>76951</v>
      </c>
      <c r="AB106" s="9"/>
      <c r="AC106" s="9">
        <v>114708</v>
      </c>
      <c r="AD106" s="9">
        <v>126431</v>
      </c>
      <c r="AE106" s="9">
        <v>66332</v>
      </c>
      <c r="AF106" s="9">
        <v>101253</v>
      </c>
      <c r="AG106" s="9">
        <v>119528</v>
      </c>
      <c r="AH106" s="9">
        <v>87461</v>
      </c>
      <c r="AI106" s="9">
        <v>87923</v>
      </c>
      <c r="AJ106" s="9">
        <v>156912</v>
      </c>
      <c r="AK106" s="9">
        <v>166890</v>
      </c>
      <c r="AL106" s="9">
        <v>109529</v>
      </c>
      <c r="AM106" s="10">
        <f t="shared" si="7"/>
        <v>3299421</v>
      </c>
    </row>
    <row r="107" spans="1:39" ht="12.75">
      <c r="A107" s="8" t="s">
        <v>42</v>
      </c>
      <c r="B107" s="9"/>
      <c r="C107" s="9">
        <v>7117</v>
      </c>
      <c r="D107" s="9">
        <v>4675</v>
      </c>
      <c r="E107" s="9">
        <v>7593</v>
      </c>
      <c r="F107" s="9">
        <v>4971</v>
      </c>
      <c r="G107" s="9">
        <v>8950</v>
      </c>
      <c r="H107" s="9">
        <v>9461</v>
      </c>
      <c r="I107" s="9">
        <v>6681</v>
      </c>
      <c r="J107" s="9">
        <v>9492</v>
      </c>
      <c r="K107" s="9">
        <v>4695</v>
      </c>
      <c r="L107" s="9">
        <v>9291</v>
      </c>
      <c r="M107" s="9">
        <v>5430</v>
      </c>
      <c r="N107" s="9">
        <v>7150</v>
      </c>
      <c r="O107" s="9">
        <v>9100</v>
      </c>
      <c r="P107" s="9">
        <v>5624</v>
      </c>
      <c r="Q107" s="9">
        <v>8506</v>
      </c>
      <c r="R107" s="9">
        <v>5810</v>
      </c>
      <c r="S107" s="9">
        <v>7536</v>
      </c>
      <c r="T107" s="9">
        <v>4400</v>
      </c>
      <c r="U107" s="9">
        <v>7721</v>
      </c>
      <c r="V107" s="9">
        <v>6795</v>
      </c>
      <c r="W107" s="9">
        <v>9893</v>
      </c>
      <c r="X107" s="9">
        <v>9640</v>
      </c>
      <c r="Y107" s="9">
        <v>6725</v>
      </c>
      <c r="Z107" s="9">
        <v>7937</v>
      </c>
      <c r="AA107" s="9">
        <v>6453</v>
      </c>
      <c r="AB107" s="9"/>
      <c r="AC107" s="9">
        <v>9876</v>
      </c>
      <c r="AD107" s="9">
        <v>10569</v>
      </c>
      <c r="AE107" s="9">
        <v>5552</v>
      </c>
      <c r="AF107" s="9">
        <v>8528</v>
      </c>
      <c r="AG107" s="9">
        <v>9630</v>
      </c>
      <c r="AH107" s="9">
        <v>7148</v>
      </c>
      <c r="AI107" s="9">
        <v>7340</v>
      </c>
      <c r="AJ107" s="9">
        <v>12920</v>
      </c>
      <c r="AK107" s="9">
        <v>13209</v>
      </c>
      <c r="AL107" s="9">
        <v>9334</v>
      </c>
      <c r="AM107" s="10">
        <f t="shared" si="7"/>
        <v>275752</v>
      </c>
    </row>
    <row r="108" spans="1:39" ht="12.75">
      <c r="A108" s="8" t="s">
        <v>43</v>
      </c>
      <c r="B108" s="9"/>
      <c r="C108" s="9">
        <v>13911</v>
      </c>
      <c r="D108" s="9">
        <v>9367</v>
      </c>
      <c r="E108" s="9">
        <v>16965</v>
      </c>
      <c r="F108" s="9">
        <v>10026</v>
      </c>
      <c r="G108" s="9">
        <v>18102</v>
      </c>
      <c r="H108" s="9">
        <v>19837</v>
      </c>
      <c r="I108" s="9">
        <v>14308</v>
      </c>
      <c r="J108" s="9">
        <v>18577</v>
      </c>
      <c r="K108" s="9">
        <v>9391</v>
      </c>
      <c r="L108" s="9">
        <v>19725</v>
      </c>
      <c r="M108" s="9">
        <v>12456</v>
      </c>
      <c r="N108" s="9">
        <v>14239</v>
      </c>
      <c r="O108" s="9">
        <v>17375</v>
      </c>
      <c r="P108" s="9">
        <v>11787</v>
      </c>
      <c r="Q108" s="9">
        <v>16735</v>
      </c>
      <c r="R108" s="9">
        <v>10321</v>
      </c>
      <c r="S108" s="9">
        <v>13127</v>
      </c>
      <c r="T108" s="9">
        <v>9544</v>
      </c>
      <c r="U108" s="9">
        <v>15571</v>
      </c>
      <c r="V108" s="9">
        <v>13423</v>
      </c>
      <c r="W108" s="9">
        <v>21793</v>
      </c>
      <c r="X108" s="9">
        <v>19125</v>
      </c>
      <c r="Y108" s="9">
        <v>14027</v>
      </c>
      <c r="Z108" s="9">
        <v>15832</v>
      </c>
      <c r="AA108" s="9">
        <v>13184</v>
      </c>
      <c r="AB108" s="9"/>
      <c r="AC108" s="9">
        <v>19967</v>
      </c>
      <c r="AD108" s="9">
        <v>21098</v>
      </c>
      <c r="AE108" s="9">
        <v>11070</v>
      </c>
      <c r="AF108" s="9">
        <v>18171</v>
      </c>
      <c r="AG108" s="9">
        <v>19890</v>
      </c>
      <c r="AH108" s="9">
        <v>14962</v>
      </c>
      <c r="AI108" s="9">
        <v>14671</v>
      </c>
      <c r="AJ108" s="9">
        <v>26154</v>
      </c>
      <c r="AK108" s="9">
        <v>29580</v>
      </c>
      <c r="AL108" s="9">
        <v>18305</v>
      </c>
      <c r="AM108" s="10">
        <f t="shared" si="7"/>
        <v>562616</v>
      </c>
    </row>
    <row r="109" spans="1:39" ht="12.75">
      <c r="A109" s="8" t="s">
        <v>44</v>
      </c>
      <c r="B109" s="9"/>
      <c r="C109" s="9">
        <v>2213</v>
      </c>
      <c r="D109" s="9">
        <v>1490</v>
      </c>
      <c r="E109" s="9">
        <v>2699</v>
      </c>
      <c r="F109" s="9">
        <v>1595</v>
      </c>
      <c r="G109" s="9">
        <v>2880</v>
      </c>
      <c r="H109" s="9">
        <v>3156</v>
      </c>
      <c r="I109" s="9">
        <v>2276</v>
      </c>
      <c r="J109" s="9">
        <v>2956</v>
      </c>
      <c r="K109" s="9">
        <v>1494</v>
      </c>
      <c r="L109" s="9">
        <v>3138</v>
      </c>
      <c r="M109" s="9">
        <v>1982</v>
      </c>
      <c r="N109" s="9">
        <v>2265</v>
      </c>
      <c r="O109" s="9">
        <v>2764</v>
      </c>
      <c r="P109" s="9">
        <v>1875</v>
      </c>
      <c r="Q109" s="9">
        <v>2662</v>
      </c>
      <c r="R109" s="9">
        <v>1642</v>
      </c>
      <c r="S109" s="9">
        <v>2088</v>
      </c>
      <c r="T109" s="9">
        <v>1518</v>
      </c>
      <c r="U109" s="9">
        <v>2477</v>
      </c>
      <c r="V109" s="9">
        <v>2136</v>
      </c>
      <c r="W109" s="9">
        <v>3467</v>
      </c>
      <c r="X109" s="9">
        <v>3043</v>
      </c>
      <c r="Y109" s="9">
        <v>2232</v>
      </c>
      <c r="Z109" s="9">
        <v>2519</v>
      </c>
      <c r="AA109" s="9">
        <v>2097</v>
      </c>
      <c r="AB109" s="9"/>
      <c r="AC109" s="9">
        <v>3177</v>
      </c>
      <c r="AD109" s="9">
        <v>3357</v>
      </c>
      <c r="AE109" s="9">
        <v>1761</v>
      </c>
      <c r="AF109" s="9">
        <v>2891</v>
      </c>
      <c r="AG109" s="9">
        <v>3164</v>
      </c>
      <c r="AH109" s="9">
        <v>2380</v>
      </c>
      <c r="AI109" s="9">
        <v>2334</v>
      </c>
      <c r="AJ109" s="9">
        <v>4161</v>
      </c>
      <c r="AK109" s="9">
        <v>4706</v>
      </c>
      <c r="AL109" s="9">
        <v>2912</v>
      </c>
      <c r="AM109" s="10">
        <f t="shared" si="7"/>
        <v>89507</v>
      </c>
    </row>
    <row r="110" spans="1:39" ht="12.75">
      <c r="A110" s="8" t="s">
        <v>45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600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10">
        <f t="shared" si="7"/>
        <v>600</v>
      </c>
    </row>
    <row r="111" spans="1:39" ht="12.75">
      <c r="A111" s="8" t="s">
        <v>47</v>
      </c>
      <c r="B111" s="9"/>
      <c r="C111" s="9"/>
      <c r="D111" s="9">
        <v>1500</v>
      </c>
      <c r="E111" s="9">
        <v>5000</v>
      </c>
      <c r="F111" s="9">
        <v>1000</v>
      </c>
      <c r="G111" s="9">
        <v>2000</v>
      </c>
      <c r="H111" s="9">
        <v>3000</v>
      </c>
      <c r="I111" s="9"/>
      <c r="J111" s="9"/>
      <c r="K111" s="9">
        <v>1200</v>
      </c>
      <c r="L111" s="9"/>
      <c r="M111" s="9">
        <v>2700</v>
      </c>
      <c r="N111" s="9">
        <v>2600</v>
      </c>
      <c r="O111" s="9">
        <v>2000</v>
      </c>
      <c r="P111" s="9">
        <v>3500</v>
      </c>
      <c r="Q111" s="9">
        <v>2000</v>
      </c>
      <c r="R111" s="9">
        <v>1600</v>
      </c>
      <c r="S111" s="9"/>
      <c r="T111" s="9">
        <v>2200</v>
      </c>
      <c r="U111" s="9">
        <v>500</v>
      </c>
      <c r="V111" s="9">
        <v>3500</v>
      </c>
      <c r="W111" s="9">
        <v>3000</v>
      </c>
      <c r="X111" s="9">
        <v>5000</v>
      </c>
      <c r="Y111" s="9">
        <v>1800</v>
      </c>
      <c r="Z111" s="9">
        <v>2300</v>
      </c>
      <c r="AA111" s="9"/>
      <c r="AB111" s="9"/>
      <c r="AC111" s="9">
        <v>2108</v>
      </c>
      <c r="AD111" s="9">
        <v>4500</v>
      </c>
      <c r="AE111" s="9"/>
      <c r="AF111" s="9"/>
      <c r="AG111" s="9"/>
      <c r="AH111" s="9">
        <v>3270</v>
      </c>
      <c r="AI111" s="9">
        <v>4000</v>
      </c>
      <c r="AJ111" s="9">
        <v>1500</v>
      </c>
      <c r="AK111" s="9">
        <v>9950</v>
      </c>
      <c r="AL111" s="9"/>
      <c r="AM111" s="10">
        <f t="shared" si="7"/>
        <v>71728</v>
      </c>
    </row>
    <row r="112" spans="1:39" ht="12.75">
      <c r="A112" s="8" t="s">
        <v>75</v>
      </c>
      <c r="B112" s="9"/>
      <c r="C112" s="9">
        <v>3000</v>
      </c>
      <c r="D112" s="9">
        <v>3000</v>
      </c>
      <c r="E112" s="9"/>
      <c r="F112" s="9"/>
      <c r="G112" s="9"/>
      <c r="H112" s="9">
        <v>4000</v>
      </c>
      <c r="I112" s="9"/>
      <c r="J112" s="9">
        <v>2000</v>
      </c>
      <c r="K112" s="9"/>
      <c r="L112" s="9"/>
      <c r="M112" s="9">
        <v>3000</v>
      </c>
      <c r="N112" s="9"/>
      <c r="O112" s="9"/>
      <c r="P112" s="9"/>
      <c r="Q112" s="9"/>
      <c r="R112" s="9"/>
      <c r="S112" s="9">
        <v>3000</v>
      </c>
      <c r="T112" s="9"/>
      <c r="U112" s="9"/>
      <c r="V112" s="9">
        <v>5048</v>
      </c>
      <c r="W112" s="9">
        <v>2500</v>
      </c>
      <c r="X112" s="9"/>
      <c r="Y112" s="9">
        <v>2000</v>
      </c>
      <c r="Z112" s="9">
        <v>6000</v>
      </c>
      <c r="AA112" s="9">
        <v>3000</v>
      </c>
      <c r="AB112" s="9"/>
      <c r="AC112" s="9"/>
      <c r="AD112" s="9">
        <v>4000</v>
      </c>
      <c r="AE112" s="9"/>
      <c r="AF112" s="9">
        <v>2000</v>
      </c>
      <c r="AG112" s="9">
        <v>4000</v>
      </c>
      <c r="AH112" s="9"/>
      <c r="AI112" s="9"/>
      <c r="AJ112" s="9"/>
      <c r="AK112" s="9"/>
      <c r="AL112" s="9"/>
      <c r="AM112" s="10">
        <f t="shared" si="7"/>
        <v>46548</v>
      </c>
    </row>
    <row r="113" spans="1:39" ht="12.75">
      <c r="A113" s="8" t="s">
        <v>50</v>
      </c>
      <c r="B113" s="9"/>
      <c r="C113" s="9"/>
      <c r="D113" s="9">
        <v>24908</v>
      </c>
      <c r="E113" s="9">
        <v>13130</v>
      </c>
      <c r="F113" s="9">
        <v>3345</v>
      </c>
      <c r="G113" s="9"/>
      <c r="H113" s="9">
        <v>23712</v>
      </c>
      <c r="I113" s="9">
        <v>3747</v>
      </c>
      <c r="J113" s="9">
        <v>11986</v>
      </c>
      <c r="K113" s="9">
        <v>4915</v>
      </c>
      <c r="L113" s="9">
        <v>23640</v>
      </c>
      <c r="M113" s="9">
        <v>2130</v>
      </c>
      <c r="N113" s="9">
        <v>5750</v>
      </c>
      <c r="O113" s="9"/>
      <c r="P113" s="9">
        <v>2079</v>
      </c>
      <c r="Q113" s="9">
        <v>2365</v>
      </c>
      <c r="R113" s="9">
        <v>6444</v>
      </c>
      <c r="S113" s="9">
        <v>6654</v>
      </c>
      <c r="T113" s="9">
        <v>5000</v>
      </c>
      <c r="U113" s="9">
        <v>5197</v>
      </c>
      <c r="V113" s="9">
        <v>9767</v>
      </c>
      <c r="W113" s="9">
        <v>34297</v>
      </c>
      <c r="X113" s="9"/>
      <c r="Y113" s="9"/>
      <c r="Z113" s="9">
        <v>4931</v>
      </c>
      <c r="AA113" s="9">
        <v>3021</v>
      </c>
      <c r="AB113" s="9"/>
      <c r="AC113" s="9"/>
      <c r="AD113" s="9">
        <v>18250</v>
      </c>
      <c r="AE113" s="9">
        <v>2212</v>
      </c>
      <c r="AF113" s="9">
        <v>2812</v>
      </c>
      <c r="AG113" s="9"/>
      <c r="AH113" s="9">
        <v>5508</v>
      </c>
      <c r="AI113" s="9">
        <v>10100</v>
      </c>
      <c r="AJ113" s="9">
        <v>11000</v>
      </c>
      <c r="AK113" s="9">
        <v>25388</v>
      </c>
      <c r="AL113" s="9"/>
      <c r="AM113" s="10">
        <f t="shared" si="7"/>
        <v>272288</v>
      </c>
    </row>
    <row r="114" spans="1:39" ht="12.75">
      <c r="A114" s="8" t="s">
        <v>51</v>
      </c>
      <c r="B114" s="9"/>
      <c r="C114" s="9"/>
      <c r="D114" s="9"/>
      <c r="E114" s="9">
        <v>1700</v>
      </c>
      <c r="F114" s="9"/>
      <c r="G114" s="9"/>
      <c r="H114" s="9"/>
      <c r="I114" s="9"/>
      <c r="J114" s="9">
        <v>1700</v>
      </c>
      <c r="K114" s="9"/>
      <c r="L114" s="9"/>
      <c r="M114" s="9"/>
      <c r="N114" s="9">
        <v>1480</v>
      </c>
      <c r="O114" s="9"/>
      <c r="P114" s="9">
        <v>1000</v>
      </c>
      <c r="Q114" s="9">
        <v>1000</v>
      </c>
      <c r="R114" s="9"/>
      <c r="S114" s="9"/>
      <c r="T114" s="9"/>
      <c r="U114" s="9"/>
      <c r="V114" s="9"/>
      <c r="W114" s="9">
        <v>1000</v>
      </c>
      <c r="X114" s="9">
        <v>1000</v>
      </c>
      <c r="Y114" s="9"/>
      <c r="Z114" s="9">
        <v>700</v>
      </c>
      <c r="AA114" s="9"/>
      <c r="AB114" s="9"/>
      <c r="AC114" s="9"/>
      <c r="AD114" s="9">
        <v>1720</v>
      </c>
      <c r="AE114" s="9"/>
      <c r="AF114" s="9"/>
      <c r="AG114" s="9"/>
      <c r="AH114" s="9">
        <v>2255</v>
      </c>
      <c r="AI114" s="9">
        <v>500</v>
      </c>
      <c r="AJ114" s="9">
        <v>1500</v>
      </c>
      <c r="AK114" s="9">
        <v>1410</v>
      </c>
      <c r="AL114" s="9"/>
      <c r="AM114" s="10">
        <f t="shared" si="7"/>
        <v>16965</v>
      </c>
    </row>
    <row r="115" spans="1:39" ht="12.75">
      <c r="A115" s="8" t="s">
        <v>52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>
        <v>250</v>
      </c>
      <c r="O115" s="9"/>
      <c r="P115" s="9"/>
      <c r="Q115" s="9">
        <v>500</v>
      </c>
      <c r="R115" s="9">
        <v>100</v>
      </c>
      <c r="S115" s="9"/>
      <c r="T115" s="9"/>
      <c r="U115" s="9"/>
      <c r="V115" s="9"/>
      <c r="W115" s="9"/>
      <c r="X115" s="9">
        <v>1000</v>
      </c>
      <c r="Y115" s="9"/>
      <c r="Z115" s="9">
        <v>150</v>
      </c>
      <c r="AA115" s="9"/>
      <c r="AB115" s="9"/>
      <c r="AC115" s="9">
        <v>500</v>
      </c>
      <c r="AD115" s="9">
        <v>400</v>
      </c>
      <c r="AE115" s="9"/>
      <c r="AF115" s="9"/>
      <c r="AG115" s="9"/>
      <c r="AH115" s="9"/>
      <c r="AI115" s="9"/>
      <c r="AJ115" s="9"/>
      <c r="AK115" s="9">
        <v>200</v>
      </c>
      <c r="AL115" s="9"/>
      <c r="AM115" s="10">
        <f t="shared" si="7"/>
        <v>3100</v>
      </c>
    </row>
    <row r="116" spans="1:39" ht="12.75">
      <c r="A116" s="8" t="s">
        <v>53</v>
      </c>
      <c r="B116" s="9"/>
      <c r="C116" s="9"/>
      <c r="D116" s="9"/>
      <c r="E116" s="9">
        <v>3300</v>
      </c>
      <c r="F116" s="9"/>
      <c r="G116" s="9"/>
      <c r="H116" s="9"/>
      <c r="I116" s="9">
        <v>520</v>
      </c>
      <c r="J116" s="9">
        <v>499</v>
      </c>
      <c r="K116" s="9">
        <v>1000</v>
      </c>
      <c r="L116" s="9"/>
      <c r="M116" s="9">
        <v>1000</v>
      </c>
      <c r="N116" s="9">
        <v>2500</v>
      </c>
      <c r="O116" s="9">
        <v>1500</v>
      </c>
      <c r="P116" s="9">
        <v>2000</v>
      </c>
      <c r="Q116" s="9"/>
      <c r="R116" s="9">
        <v>1100</v>
      </c>
      <c r="S116" s="9"/>
      <c r="T116" s="9">
        <v>1800</v>
      </c>
      <c r="U116" s="9">
        <v>500</v>
      </c>
      <c r="V116" s="9">
        <v>4000</v>
      </c>
      <c r="W116" s="9">
        <v>3500</v>
      </c>
      <c r="X116" s="9"/>
      <c r="Y116" s="9"/>
      <c r="Z116" s="9">
        <v>1000</v>
      </c>
      <c r="AA116" s="9"/>
      <c r="AB116" s="9"/>
      <c r="AC116" s="9">
        <v>800</v>
      </c>
      <c r="AD116" s="9">
        <v>2880</v>
      </c>
      <c r="AE116" s="9"/>
      <c r="AF116" s="9"/>
      <c r="AG116" s="9"/>
      <c r="AH116" s="9">
        <v>810</v>
      </c>
      <c r="AI116" s="9"/>
      <c r="AJ116" s="9">
        <v>600</v>
      </c>
      <c r="AK116" s="9">
        <v>1100</v>
      </c>
      <c r="AL116" s="9"/>
      <c r="AM116" s="10">
        <f t="shared" si="7"/>
        <v>30409</v>
      </c>
    </row>
    <row r="117" spans="1:39" ht="12.75">
      <c r="A117" s="8" t="s">
        <v>56</v>
      </c>
      <c r="B117" s="9"/>
      <c r="C117" s="9"/>
      <c r="D117" s="9"/>
      <c r="E117" s="9"/>
      <c r="F117" s="9"/>
      <c r="G117" s="9"/>
      <c r="H117" s="9"/>
      <c r="I117" s="9"/>
      <c r="J117" s="9"/>
      <c r="K117" s="9">
        <v>300</v>
      </c>
      <c r="L117" s="9"/>
      <c r="M117" s="9"/>
      <c r="N117" s="9">
        <v>100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10">
        <f t="shared" si="7"/>
        <v>400</v>
      </c>
    </row>
    <row r="118" spans="1:39" ht="12.75">
      <c r="A118" s="8" t="s">
        <v>57</v>
      </c>
      <c r="B118" s="9"/>
      <c r="C118" s="9"/>
      <c r="D118" s="9"/>
      <c r="E118" s="9"/>
      <c r="F118" s="9"/>
      <c r="G118" s="9"/>
      <c r="H118" s="9"/>
      <c r="I118" s="9"/>
      <c r="J118" s="9"/>
      <c r="K118" s="9">
        <v>300</v>
      </c>
      <c r="L118" s="9"/>
      <c r="M118" s="9"/>
      <c r="N118" s="9">
        <v>300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>
        <v>700</v>
      </c>
      <c r="AE118" s="9"/>
      <c r="AF118" s="9"/>
      <c r="AG118" s="9"/>
      <c r="AH118" s="9"/>
      <c r="AI118" s="9"/>
      <c r="AJ118" s="9"/>
      <c r="AK118" s="9"/>
      <c r="AL118" s="9"/>
      <c r="AM118" s="10">
        <f t="shared" si="7"/>
        <v>1300</v>
      </c>
    </row>
    <row r="119" spans="1:39" ht="12.75">
      <c r="A119" s="8" t="s">
        <v>61</v>
      </c>
      <c r="B119" s="9"/>
      <c r="C119" s="9">
        <v>4120</v>
      </c>
      <c r="D119" s="9">
        <v>2575</v>
      </c>
      <c r="E119" s="9">
        <v>4635</v>
      </c>
      <c r="F119" s="9">
        <v>2575</v>
      </c>
      <c r="G119" s="9">
        <v>4635</v>
      </c>
      <c r="H119" s="9">
        <v>5150</v>
      </c>
      <c r="I119" s="9">
        <v>4120</v>
      </c>
      <c r="J119" s="9">
        <v>5150</v>
      </c>
      <c r="K119" s="9">
        <v>2575</v>
      </c>
      <c r="L119" s="9">
        <v>5150</v>
      </c>
      <c r="M119" s="9">
        <v>3605</v>
      </c>
      <c r="N119" s="9">
        <v>3863</v>
      </c>
      <c r="O119" s="9">
        <v>4893</v>
      </c>
      <c r="P119" s="9">
        <v>3348</v>
      </c>
      <c r="Q119" s="9">
        <v>4635</v>
      </c>
      <c r="R119" s="9">
        <v>3090</v>
      </c>
      <c r="S119" s="9">
        <v>3605</v>
      </c>
      <c r="T119" s="9">
        <v>2575</v>
      </c>
      <c r="U119" s="9">
        <v>4120</v>
      </c>
      <c r="V119" s="9">
        <v>3605</v>
      </c>
      <c r="W119" s="9">
        <v>5665</v>
      </c>
      <c r="X119" s="9">
        <v>5150</v>
      </c>
      <c r="Y119" s="9">
        <v>3863</v>
      </c>
      <c r="Z119" s="9">
        <v>4120</v>
      </c>
      <c r="AA119" s="9">
        <v>3348</v>
      </c>
      <c r="AB119" s="9"/>
      <c r="AC119" s="9">
        <v>5150</v>
      </c>
      <c r="AD119" s="9">
        <v>6180</v>
      </c>
      <c r="AE119" s="9">
        <v>2833</v>
      </c>
      <c r="AF119" s="9">
        <v>4378</v>
      </c>
      <c r="AG119" s="9">
        <v>5150</v>
      </c>
      <c r="AH119" s="9">
        <v>4120</v>
      </c>
      <c r="AI119" s="9">
        <v>4120</v>
      </c>
      <c r="AJ119" s="9">
        <v>7210</v>
      </c>
      <c r="AK119" s="9">
        <v>7210</v>
      </c>
      <c r="AL119" s="9">
        <v>4893</v>
      </c>
      <c r="AM119" s="10">
        <f t="shared" si="7"/>
        <v>151414</v>
      </c>
    </row>
    <row r="120" spans="1:39" ht="12.75">
      <c r="A120" s="8" t="s">
        <v>62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>
        <v>200</v>
      </c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10">
        <f t="shared" si="7"/>
        <v>200</v>
      </c>
    </row>
    <row r="121" spans="1:39" ht="12.75">
      <c r="A121" s="8" t="s">
        <v>63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>
        <v>300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10">
        <f t="shared" si="7"/>
        <v>300</v>
      </c>
    </row>
    <row r="122" spans="1:39" ht="12.75">
      <c r="A122" s="8" t="s">
        <v>64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>
        <v>400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10">
        <f t="shared" si="7"/>
        <v>400</v>
      </c>
    </row>
    <row r="123" spans="1:39" ht="12.75">
      <c r="A123" s="8" t="s">
        <v>76</v>
      </c>
      <c r="B123" s="10">
        <f aca="true" t="shared" si="9" ref="B123:AL123">SUM(B105:B122)</f>
        <v>0</v>
      </c>
      <c r="C123" s="10">
        <f t="shared" si="9"/>
        <v>113578</v>
      </c>
      <c r="D123" s="10">
        <f t="shared" si="9"/>
        <v>103662</v>
      </c>
      <c r="E123" s="10">
        <f t="shared" si="9"/>
        <v>149794</v>
      </c>
      <c r="F123" s="10">
        <f t="shared" si="9"/>
        <v>81101</v>
      </c>
      <c r="G123" s="10">
        <f t="shared" si="9"/>
        <v>145162</v>
      </c>
      <c r="H123" s="10">
        <f t="shared" si="9"/>
        <v>178177</v>
      </c>
      <c r="I123" s="10">
        <f t="shared" si="9"/>
        <v>116229</v>
      </c>
      <c r="J123" s="10">
        <f t="shared" si="9"/>
        <v>164001</v>
      </c>
      <c r="K123" s="10">
        <f t="shared" si="9"/>
        <v>79700</v>
      </c>
      <c r="L123" s="10">
        <f t="shared" si="9"/>
        <v>172778</v>
      </c>
      <c r="M123" s="10">
        <f t="shared" si="9"/>
        <v>105879</v>
      </c>
      <c r="N123" s="10">
        <f t="shared" si="9"/>
        <v>125235</v>
      </c>
      <c r="O123" s="10">
        <f t="shared" si="9"/>
        <v>141359</v>
      </c>
      <c r="P123" s="10">
        <f t="shared" si="9"/>
        <v>100227</v>
      </c>
      <c r="Q123" s="10">
        <f t="shared" si="9"/>
        <v>139565</v>
      </c>
      <c r="R123" s="10">
        <f t="shared" si="9"/>
        <v>91518</v>
      </c>
      <c r="S123" s="10">
        <f t="shared" si="9"/>
        <v>112949</v>
      </c>
      <c r="T123" s="10">
        <f t="shared" si="9"/>
        <v>79662</v>
      </c>
      <c r="U123" s="10">
        <f t="shared" si="9"/>
        <v>129478</v>
      </c>
      <c r="V123" s="10">
        <f t="shared" si="9"/>
        <v>129144</v>
      </c>
      <c r="W123" s="10">
        <f t="shared" si="9"/>
        <v>213542</v>
      </c>
      <c r="X123" s="10">
        <f t="shared" si="9"/>
        <v>160008</v>
      </c>
      <c r="Y123" s="10">
        <f t="shared" si="9"/>
        <v>115709</v>
      </c>
      <c r="Z123" s="10">
        <f t="shared" si="9"/>
        <v>140706</v>
      </c>
      <c r="AA123" s="10">
        <f t="shared" si="9"/>
        <v>108054</v>
      </c>
      <c r="AB123" s="10">
        <f t="shared" si="9"/>
        <v>0</v>
      </c>
      <c r="AC123" s="10">
        <f t="shared" si="9"/>
        <v>156786</v>
      </c>
      <c r="AD123" s="10">
        <f t="shared" si="9"/>
        <v>200885</v>
      </c>
      <c r="AE123" s="10">
        <f t="shared" si="9"/>
        <v>89760</v>
      </c>
      <c r="AF123" s="10">
        <f t="shared" si="9"/>
        <v>140033</v>
      </c>
      <c r="AG123" s="10">
        <f t="shared" si="9"/>
        <v>161362</v>
      </c>
      <c r="AH123" s="10">
        <f t="shared" si="9"/>
        <v>127914</v>
      </c>
      <c r="AI123" s="10">
        <f t="shared" si="9"/>
        <v>130988</v>
      </c>
      <c r="AJ123" s="10">
        <f t="shared" si="9"/>
        <v>221957</v>
      </c>
      <c r="AK123" s="10">
        <f t="shared" si="9"/>
        <v>259943</v>
      </c>
      <c r="AL123" s="10">
        <f t="shared" si="9"/>
        <v>144973</v>
      </c>
      <c r="AM123" s="10">
        <f t="shared" si="7"/>
        <v>4831818</v>
      </c>
    </row>
    <row r="124" spans="1:39" ht="12.75">
      <c r="A124" s="8" t="s">
        <v>43</v>
      </c>
      <c r="B124" s="9"/>
      <c r="C124" s="9"/>
      <c r="D124" s="9"/>
      <c r="E124" s="9"/>
      <c r="F124" s="9"/>
      <c r="G124" s="9"/>
      <c r="H124" s="9"/>
      <c r="I124" s="9"/>
      <c r="J124" s="9">
        <v>1704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>
        <v>920</v>
      </c>
      <c r="AL124" s="9"/>
      <c r="AM124" s="10">
        <f t="shared" si="7"/>
        <v>2624</v>
      </c>
    </row>
    <row r="125" spans="1:39" ht="12.75">
      <c r="A125" s="8" t="s">
        <v>44</v>
      </c>
      <c r="B125" s="9"/>
      <c r="C125" s="9"/>
      <c r="D125" s="9"/>
      <c r="E125" s="9"/>
      <c r="F125" s="9"/>
      <c r="G125" s="9"/>
      <c r="H125" s="9"/>
      <c r="I125" s="9"/>
      <c r="J125" s="9">
        <v>272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>
        <v>150</v>
      </c>
      <c r="AL125" s="9"/>
      <c r="AM125" s="10">
        <f t="shared" si="7"/>
        <v>422</v>
      </c>
    </row>
    <row r="126" spans="1:39" ht="12.75">
      <c r="A126" s="8" t="s">
        <v>46</v>
      </c>
      <c r="B126" s="9"/>
      <c r="C126" s="9"/>
      <c r="D126" s="9"/>
      <c r="E126" s="9"/>
      <c r="F126" s="9"/>
      <c r="G126" s="9"/>
      <c r="H126" s="9">
        <v>21000</v>
      </c>
      <c r="I126" s="9"/>
      <c r="J126" s="9">
        <v>11024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>
        <v>800</v>
      </c>
      <c r="X126" s="9">
        <v>1000</v>
      </c>
      <c r="Y126" s="9"/>
      <c r="Z126" s="9"/>
      <c r="AA126" s="9">
        <v>12500</v>
      </c>
      <c r="AB126" s="9"/>
      <c r="AC126" s="9"/>
      <c r="AD126" s="9"/>
      <c r="AE126" s="9"/>
      <c r="AF126" s="9"/>
      <c r="AG126" s="9"/>
      <c r="AH126" s="9"/>
      <c r="AI126" s="9"/>
      <c r="AJ126" s="9"/>
      <c r="AK126" s="9">
        <v>5930</v>
      </c>
      <c r="AL126" s="9">
        <v>2000</v>
      </c>
      <c r="AM126" s="10">
        <f t="shared" si="7"/>
        <v>54254</v>
      </c>
    </row>
    <row r="127" spans="1:39" ht="12.75">
      <c r="A127" s="8" t="s">
        <v>47</v>
      </c>
      <c r="B127" s="9"/>
      <c r="C127" s="9"/>
      <c r="D127" s="9">
        <v>1000</v>
      </c>
      <c r="E127" s="9"/>
      <c r="F127" s="9"/>
      <c r="G127" s="9">
        <v>1300</v>
      </c>
      <c r="H127" s="9">
        <f>9941+2580</f>
        <v>12521</v>
      </c>
      <c r="I127" s="9"/>
      <c r="J127" s="9">
        <v>1000</v>
      </c>
      <c r="K127" s="9"/>
      <c r="L127" s="9"/>
      <c r="M127" s="9"/>
      <c r="N127" s="9">
        <v>2100</v>
      </c>
      <c r="O127" s="9"/>
      <c r="P127" s="9">
        <v>1200</v>
      </c>
      <c r="Q127" s="9">
        <f>17800+1300</f>
        <v>19100</v>
      </c>
      <c r="R127" s="9"/>
      <c r="S127" s="9"/>
      <c r="T127" s="9">
        <v>7107</v>
      </c>
      <c r="U127" s="9">
        <f>1500+1500</f>
        <v>3000</v>
      </c>
      <c r="V127" s="9"/>
      <c r="W127" s="9">
        <v>1200</v>
      </c>
      <c r="X127" s="9">
        <f>500+2500</f>
        <v>3000</v>
      </c>
      <c r="Y127" s="9">
        <f>1000+950</f>
        <v>1950</v>
      </c>
      <c r="Z127" s="9"/>
      <c r="AA127" s="9">
        <v>4500</v>
      </c>
      <c r="AB127" s="9">
        <v>5000</v>
      </c>
      <c r="AC127" s="9"/>
      <c r="AD127" s="9">
        <v>2000</v>
      </c>
      <c r="AE127" s="9"/>
      <c r="AF127" s="9">
        <f>2500+720</f>
        <v>3220</v>
      </c>
      <c r="AG127" s="9">
        <v>2500</v>
      </c>
      <c r="AH127" s="9"/>
      <c r="AI127" s="9">
        <v>1940</v>
      </c>
      <c r="AJ127" s="9"/>
      <c r="AK127" s="9">
        <v>22500</v>
      </c>
      <c r="AL127" s="9">
        <f>6000+1000</f>
        <v>7000</v>
      </c>
      <c r="AM127" s="10">
        <f t="shared" si="7"/>
        <v>103138</v>
      </c>
    </row>
    <row r="128" spans="1:39" ht="12.75">
      <c r="A128" s="8" t="s">
        <v>49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>
        <v>3500</v>
      </c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10">
        <f t="shared" si="7"/>
        <v>3500</v>
      </c>
    </row>
    <row r="129" spans="1:39" ht="12.75">
      <c r="A129" s="8" t="s">
        <v>50</v>
      </c>
      <c r="B129" s="9"/>
      <c r="C129" s="9"/>
      <c r="D129" s="9"/>
      <c r="E129" s="9"/>
      <c r="F129" s="9"/>
      <c r="G129" s="9">
        <v>2300</v>
      </c>
      <c r="H129" s="9">
        <v>420</v>
      </c>
      <c r="I129" s="9"/>
      <c r="J129" s="9"/>
      <c r="K129" s="9"/>
      <c r="L129" s="9"/>
      <c r="M129" s="9"/>
      <c r="N129" s="9">
        <v>300</v>
      </c>
      <c r="O129" s="9"/>
      <c r="P129" s="9">
        <v>1500</v>
      </c>
      <c r="Q129" s="9">
        <v>1500</v>
      </c>
      <c r="R129" s="9"/>
      <c r="S129" s="9"/>
      <c r="T129" s="9"/>
      <c r="U129" s="9">
        <v>1500</v>
      </c>
      <c r="V129" s="9"/>
      <c r="W129" s="9"/>
      <c r="X129" s="9">
        <v>1200</v>
      </c>
      <c r="Y129" s="9">
        <v>2025</v>
      </c>
      <c r="Z129" s="9"/>
      <c r="AA129" s="9"/>
      <c r="AB129" s="9"/>
      <c r="AC129" s="9"/>
      <c r="AD129" s="9"/>
      <c r="AE129" s="9"/>
      <c r="AF129" s="9">
        <v>1920</v>
      </c>
      <c r="AG129" s="9"/>
      <c r="AH129" s="9"/>
      <c r="AI129" s="9">
        <v>1300</v>
      </c>
      <c r="AJ129" s="9"/>
      <c r="AK129" s="9"/>
      <c r="AL129" s="9">
        <v>1000</v>
      </c>
      <c r="AM129" s="10">
        <f t="shared" si="7"/>
        <v>14965</v>
      </c>
    </row>
    <row r="130" spans="1:39" ht="12.75">
      <c r="A130" s="8" t="s">
        <v>51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>
        <v>1500</v>
      </c>
      <c r="R130" s="9"/>
      <c r="S130" s="9"/>
      <c r="T130" s="9"/>
      <c r="U130" s="9"/>
      <c r="V130" s="9"/>
      <c r="W130" s="9"/>
      <c r="X130" s="9"/>
      <c r="Y130" s="9">
        <v>700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>
        <v>500</v>
      </c>
      <c r="AM130" s="10">
        <f t="shared" si="7"/>
        <v>2700</v>
      </c>
    </row>
    <row r="131" spans="1:39" ht="12.75">
      <c r="A131" s="8" t="s">
        <v>53</v>
      </c>
      <c r="B131" s="9"/>
      <c r="C131" s="9"/>
      <c r="D131" s="9"/>
      <c r="E131" s="9"/>
      <c r="F131" s="9"/>
      <c r="G131" s="9">
        <v>1200</v>
      </c>
      <c r="H131" s="9">
        <f>3000+1200</f>
        <v>4200</v>
      </c>
      <c r="I131" s="9"/>
      <c r="J131" s="9">
        <v>1500</v>
      </c>
      <c r="K131" s="9"/>
      <c r="L131" s="9"/>
      <c r="M131" s="9">
        <v>5000</v>
      </c>
      <c r="N131" s="9">
        <v>1800</v>
      </c>
      <c r="O131" s="9"/>
      <c r="P131" s="9">
        <v>1500</v>
      </c>
      <c r="Q131" s="9">
        <v>500</v>
      </c>
      <c r="R131" s="9"/>
      <c r="S131" s="9"/>
      <c r="T131" s="9"/>
      <c r="U131" s="9">
        <v>1200</v>
      </c>
      <c r="V131" s="9"/>
      <c r="W131" s="9">
        <v>1500</v>
      </c>
      <c r="X131" s="9">
        <f>3600+500</f>
        <v>4100</v>
      </c>
      <c r="Y131" s="9">
        <v>1125</v>
      </c>
      <c r="Z131" s="9"/>
      <c r="AA131" s="9"/>
      <c r="AB131" s="9"/>
      <c r="AC131" s="9"/>
      <c r="AD131" s="9"/>
      <c r="AE131" s="9"/>
      <c r="AF131" s="9">
        <v>1560</v>
      </c>
      <c r="AG131" s="9">
        <v>4200</v>
      </c>
      <c r="AH131" s="9"/>
      <c r="AI131" s="9"/>
      <c r="AJ131" s="9"/>
      <c r="AK131" s="9"/>
      <c r="AL131" s="9">
        <f>4000+1700</f>
        <v>5700</v>
      </c>
      <c r="AM131" s="10">
        <f t="shared" si="7"/>
        <v>35085</v>
      </c>
    </row>
    <row r="132" spans="1:39" ht="12.75">
      <c r="A132" s="8" t="s">
        <v>57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>
        <v>960</v>
      </c>
      <c r="AJ132" s="9"/>
      <c r="AK132" s="9"/>
      <c r="AL132" s="9"/>
      <c r="AM132" s="10">
        <f aca="true" t="shared" si="10" ref="AM132:AM163">SUM(B132:AL132)</f>
        <v>960</v>
      </c>
    </row>
    <row r="133" spans="1:39" ht="12.75">
      <c r="A133" s="8" t="s">
        <v>60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>
        <v>1000</v>
      </c>
      <c r="AH133" s="9"/>
      <c r="AI133" s="9"/>
      <c r="AJ133" s="9"/>
      <c r="AK133" s="9"/>
      <c r="AL133" s="9"/>
      <c r="AM133" s="10">
        <f t="shared" si="10"/>
        <v>1000</v>
      </c>
    </row>
    <row r="134" spans="1:39" ht="12.75">
      <c r="A134" s="8" t="s">
        <v>67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>
        <v>4000</v>
      </c>
      <c r="AI134" s="9"/>
      <c r="AJ134" s="9"/>
      <c r="AK134" s="9"/>
      <c r="AL134" s="9"/>
      <c r="AM134" s="10">
        <f t="shared" si="10"/>
        <v>4000</v>
      </c>
    </row>
    <row r="135" spans="1:39" ht="12.75">
      <c r="A135" s="8" t="s">
        <v>77</v>
      </c>
      <c r="B135" s="9">
        <f aca="true" t="shared" si="11" ref="B135:AL135">SUM(B124:B134)</f>
        <v>0</v>
      </c>
      <c r="C135" s="9">
        <f t="shared" si="11"/>
        <v>0</v>
      </c>
      <c r="D135" s="9">
        <f t="shared" si="11"/>
        <v>1000</v>
      </c>
      <c r="E135" s="9">
        <f t="shared" si="11"/>
        <v>0</v>
      </c>
      <c r="F135" s="9">
        <f t="shared" si="11"/>
        <v>0</v>
      </c>
      <c r="G135" s="9">
        <f t="shared" si="11"/>
        <v>4800</v>
      </c>
      <c r="H135" s="9">
        <f t="shared" si="11"/>
        <v>38141</v>
      </c>
      <c r="I135" s="9">
        <f t="shared" si="11"/>
        <v>0</v>
      </c>
      <c r="J135" s="9">
        <f t="shared" si="11"/>
        <v>15500</v>
      </c>
      <c r="K135" s="9">
        <f t="shared" si="11"/>
        <v>0</v>
      </c>
      <c r="L135" s="9">
        <f t="shared" si="11"/>
        <v>0</v>
      </c>
      <c r="M135" s="9">
        <f t="shared" si="11"/>
        <v>5000</v>
      </c>
      <c r="N135" s="9">
        <f t="shared" si="11"/>
        <v>4200</v>
      </c>
      <c r="O135" s="9">
        <f t="shared" si="11"/>
        <v>0</v>
      </c>
      <c r="P135" s="9">
        <f t="shared" si="11"/>
        <v>4200</v>
      </c>
      <c r="Q135" s="9">
        <f t="shared" si="11"/>
        <v>26100</v>
      </c>
      <c r="R135" s="9">
        <f t="shared" si="11"/>
        <v>0</v>
      </c>
      <c r="S135" s="9">
        <f t="shared" si="11"/>
        <v>0</v>
      </c>
      <c r="T135" s="9">
        <f t="shared" si="11"/>
        <v>7107</v>
      </c>
      <c r="U135" s="9">
        <f t="shared" si="11"/>
        <v>5700</v>
      </c>
      <c r="V135" s="9">
        <f t="shared" si="11"/>
        <v>0</v>
      </c>
      <c r="W135" s="9">
        <f t="shared" si="11"/>
        <v>3500</v>
      </c>
      <c r="X135" s="9">
        <f t="shared" si="11"/>
        <v>9300</v>
      </c>
      <c r="Y135" s="9">
        <f t="shared" si="11"/>
        <v>5800</v>
      </c>
      <c r="Z135" s="9">
        <f t="shared" si="11"/>
        <v>0</v>
      </c>
      <c r="AA135" s="9">
        <f t="shared" si="11"/>
        <v>17000</v>
      </c>
      <c r="AB135" s="9">
        <f t="shared" si="11"/>
        <v>5000</v>
      </c>
      <c r="AC135" s="9">
        <f t="shared" si="11"/>
        <v>0</v>
      </c>
      <c r="AD135" s="9">
        <f t="shared" si="11"/>
        <v>2000</v>
      </c>
      <c r="AE135" s="9">
        <f t="shared" si="11"/>
        <v>0</v>
      </c>
      <c r="AF135" s="9">
        <f t="shared" si="11"/>
        <v>6700</v>
      </c>
      <c r="AG135" s="9">
        <f t="shared" si="11"/>
        <v>7700</v>
      </c>
      <c r="AH135" s="9">
        <f t="shared" si="11"/>
        <v>4000</v>
      </c>
      <c r="AI135" s="9">
        <f t="shared" si="11"/>
        <v>4200</v>
      </c>
      <c r="AJ135" s="9">
        <f t="shared" si="11"/>
        <v>0</v>
      </c>
      <c r="AK135" s="9">
        <f t="shared" si="11"/>
        <v>29500</v>
      </c>
      <c r="AL135" s="9">
        <f t="shared" si="11"/>
        <v>16200</v>
      </c>
      <c r="AM135" s="10">
        <f t="shared" si="10"/>
        <v>222648</v>
      </c>
    </row>
    <row r="136" spans="1:39" ht="12.75">
      <c r="A136" s="8" t="s">
        <v>75</v>
      </c>
      <c r="B136" s="9">
        <v>11088</v>
      </c>
      <c r="C136" s="9">
        <v>6336</v>
      </c>
      <c r="D136" s="9">
        <v>5808</v>
      </c>
      <c r="E136" s="9">
        <v>15312</v>
      </c>
      <c r="F136" s="9">
        <v>9504</v>
      </c>
      <c r="G136" s="9">
        <v>11088</v>
      </c>
      <c r="H136" s="9">
        <v>12672</v>
      </c>
      <c r="I136" s="9">
        <v>10032</v>
      </c>
      <c r="J136" s="9">
        <v>17952</v>
      </c>
      <c r="K136" s="9">
        <v>6864</v>
      </c>
      <c r="L136" s="9">
        <v>6336</v>
      </c>
      <c r="M136" s="9">
        <v>9504</v>
      </c>
      <c r="N136" s="9">
        <v>9504</v>
      </c>
      <c r="O136" s="9">
        <v>16368</v>
      </c>
      <c r="P136" s="9">
        <v>10560</v>
      </c>
      <c r="Q136" s="9">
        <v>10032</v>
      </c>
      <c r="R136" s="9">
        <v>7392</v>
      </c>
      <c r="S136" s="9">
        <v>6864</v>
      </c>
      <c r="T136" s="9">
        <v>7920</v>
      </c>
      <c r="U136" s="9">
        <v>7920</v>
      </c>
      <c r="V136" s="9">
        <v>8448</v>
      </c>
      <c r="W136" s="9">
        <v>22176</v>
      </c>
      <c r="X136" s="9">
        <v>14256</v>
      </c>
      <c r="Y136" s="9">
        <v>7392</v>
      </c>
      <c r="Z136" s="9">
        <v>8448</v>
      </c>
      <c r="AA136" s="9">
        <v>7920</v>
      </c>
      <c r="AB136" s="9">
        <v>3168</v>
      </c>
      <c r="AC136" s="9">
        <v>14256</v>
      </c>
      <c r="AD136" s="9">
        <v>16896</v>
      </c>
      <c r="AE136" s="9">
        <v>7392</v>
      </c>
      <c r="AF136" s="9">
        <v>15312</v>
      </c>
      <c r="AG136" s="9">
        <v>15312</v>
      </c>
      <c r="AH136" s="9">
        <v>12672</v>
      </c>
      <c r="AI136" s="9">
        <v>5808</v>
      </c>
      <c r="AJ136" s="9">
        <v>16896</v>
      </c>
      <c r="AK136" s="9">
        <v>20592</v>
      </c>
      <c r="AL136" s="9">
        <v>11088</v>
      </c>
      <c r="AM136" s="10">
        <f t="shared" si="10"/>
        <v>407088</v>
      </c>
    </row>
    <row r="137" spans="1:39" ht="12.75">
      <c r="A137" s="8" t="s">
        <v>53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>
        <v>14000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10">
        <f t="shared" si="10"/>
        <v>14000</v>
      </c>
    </row>
    <row r="138" spans="1:39" s="11" customFormat="1" ht="12.75">
      <c r="A138" s="8" t="s">
        <v>78</v>
      </c>
      <c r="B138" s="10">
        <f aca="true" t="shared" si="12" ref="B138:AL138">SUM(B136:B137)</f>
        <v>11088</v>
      </c>
      <c r="C138" s="10">
        <f t="shared" si="12"/>
        <v>6336</v>
      </c>
      <c r="D138" s="10">
        <f t="shared" si="12"/>
        <v>5808</v>
      </c>
      <c r="E138" s="10">
        <f t="shared" si="12"/>
        <v>15312</v>
      </c>
      <c r="F138" s="10">
        <f t="shared" si="12"/>
        <v>9504</v>
      </c>
      <c r="G138" s="10">
        <f t="shared" si="12"/>
        <v>11088</v>
      </c>
      <c r="H138" s="10">
        <f t="shared" si="12"/>
        <v>12672</v>
      </c>
      <c r="I138" s="10">
        <f t="shared" si="12"/>
        <v>10032</v>
      </c>
      <c r="J138" s="10">
        <f t="shared" si="12"/>
        <v>17952</v>
      </c>
      <c r="K138" s="10">
        <f t="shared" si="12"/>
        <v>6864</v>
      </c>
      <c r="L138" s="10">
        <f t="shared" si="12"/>
        <v>6336</v>
      </c>
      <c r="M138" s="10">
        <f t="shared" si="12"/>
        <v>9504</v>
      </c>
      <c r="N138" s="10">
        <f t="shared" si="12"/>
        <v>9504</v>
      </c>
      <c r="O138" s="10">
        <f t="shared" si="12"/>
        <v>16368</v>
      </c>
      <c r="P138" s="10">
        <f t="shared" si="12"/>
        <v>10560</v>
      </c>
      <c r="Q138" s="10">
        <f t="shared" si="12"/>
        <v>10032</v>
      </c>
      <c r="R138" s="10">
        <f t="shared" si="12"/>
        <v>7392</v>
      </c>
      <c r="S138" s="10">
        <f t="shared" si="12"/>
        <v>6864</v>
      </c>
      <c r="T138" s="10">
        <f t="shared" si="12"/>
        <v>21920</v>
      </c>
      <c r="U138" s="10">
        <f t="shared" si="12"/>
        <v>7920</v>
      </c>
      <c r="V138" s="10">
        <f t="shared" si="12"/>
        <v>8448</v>
      </c>
      <c r="W138" s="10">
        <f t="shared" si="12"/>
        <v>22176</v>
      </c>
      <c r="X138" s="10">
        <f t="shared" si="12"/>
        <v>14256</v>
      </c>
      <c r="Y138" s="10">
        <f t="shared" si="12"/>
        <v>7392</v>
      </c>
      <c r="Z138" s="10">
        <f t="shared" si="12"/>
        <v>8448</v>
      </c>
      <c r="AA138" s="10">
        <f t="shared" si="12"/>
        <v>7920</v>
      </c>
      <c r="AB138" s="10">
        <f t="shared" si="12"/>
        <v>3168</v>
      </c>
      <c r="AC138" s="10">
        <f t="shared" si="12"/>
        <v>14256</v>
      </c>
      <c r="AD138" s="10">
        <f t="shared" si="12"/>
        <v>16896</v>
      </c>
      <c r="AE138" s="10">
        <f t="shared" si="12"/>
        <v>7392</v>
      </c>
      <c r="AF138" s="10">
        <f t="shared" si="12"/>
        <v>15312</v>
      </c>
      <c r="AG138" s="10">
        <f t="shared" si="12"/>
        <v>15312</v>
      </c>
      <c r="AH138" s="10">
        <f t="shared" si="12"/>
        <v>12672</v>
      </c>
      <c r="AI138" s="10">
        <f t="shared" si="12"/>
        <v>5808</v>
      </c>
      <c r="AJ138" s="10">
        <f t="shared" si="12"/>
        <v>16896</v>
      </c>
      <c r="AK138" s="10">
        <f t="shared" si="12"/>
        <v>20592</v>
      </c>
      <c r="AL138" s="10">
        <f t="shared" si="12"/>
        <v>11088</v>
      </c>
      <c r="AM138" s="10">
        <f t="shared" si="10"/>
        <v>421088</v>
      </c>
    </row>
    <row r="139" spans="1:39" ht="12.75">
      <c r="A139" s="8" t="s">
        <v>40</v>
      </c>
      <c r="B139" s="9"/>
      <c r="C139" s="9"/>
      <c r="D139" s="9"/>
      <c r="E139" s="9">
        <v>533</v>
      </c>
      <c r="F139" s="9"/>
      <c r="G139" s="9">
        <v>327</v>
      </c>
      <c r="H139" s="9">
        <v>484</v>
      </c>
      <c r="I139" s="9">
        <v>296</v>
      </c>
      <c r="J139" s="9">
        <v>522</v>
      </c>
      <c r="K139" s="9">
        <v>399</v>
      </c>
      <c r="L139" s="9"/>
      <c r="M139" s="9">
        <v>519</v>
      </c>
      <c r="N139" s="9">
        <v>314</v>
      </c>
      <c r="O139" s="9">
        <v>647</v>
      </c>
      <c r="P139" s="9">
        <v>704</v>
      </c>
      <c r="Q139" s="9">
        <v>566</v>
      </c>
      <c r="R139" s="9">
        <v>372</v>
      </c>
      <c r="S139" s="9">
        <v>422</v>
      </c>
      <c r="T139" s="9"/>
      <c r="U139" s="9">
        <v>337</v>
      </c>
      <c r="V139" s="9">
        <v>305</v>
      </c>
      <c r="W139" s="9">
        <v>409</v>
      </c>
      <c r="X139" s="9">
        <v>540</v>
      </c>
      <c r="Y139" s="9">
        <v>434</v>
      </c>
      <c r="Z139" s="9">
        <v>331</v>
      </c>
      <c r="AA139" s="9"/>
      <c r="AB139" s="9"/>
      <c r="AC139" s="9">
        <v>621</v>
      </c>
      <c r="AD139" s="9">
        <v>613</v>
      </c>
      <c r="AE139" s="9"/>
      <c r="AF139" s="9">
        <v>415</v>
      </c>
      <c r="AG139" s="9">
        <v>520</v>
      </c>
      <c r="AH139" s="9">
        <v>308</v>
      </c>
      <c r="AI139" s="9">
        <v>660</v>
      </c>
      <c r="AJ139" s="9">
        <v>623</v>
      </c>
      <c r="AK139" s="9">
        <v>833</v>
      </c>
      <c r="AL139" s="9">
        <v>354</v>
      </c>
      <c r="AM139" s="10">
        <f t="shared" si="10"/>
        <v>13408</v>
      </c>
    </row>
    <row r="140" spans="1:39" ht="12.75">
      <c r="A140" s="8" t="s">
        <v>41</v>
      </c>
      <c r="B140" s="9"/>
      <c r="C140" s="9"/>
      <c r="D140" s="9"/>
      <c r="E140" s="9">
        <v>157292</v>
      </c>
      <c r="F140" s="9"/>
      <c r="G140" s="9">
        <v>102997</v>
      </c>
      <c r="H140" s="9">
        <v>149546</v>
      </c>
      <c r="I140" s="9">
        <v>96232</v>
      </c>
      <c r="J140" s="9">
        <v>169918</v>
      </c>
      <c r="K140" s="9">
        <v>118961</v>
      </c>
      <c r="L140" s="9"/>
      <c r="M140" s="9">
        <v>169642</v>
      </c>
      <c r="N140" s="9">
        <v>94490</v>
      </c>
      <c r="O140" s="9">
        <v>195207</v>
      </c>
      <c r="P140" s="9">
        <v>84353</v>
      </c>
      <c r="Q140" s="9">
        <v>156946</v>
      </c>
      <c r="R140" s="9">
        <v>198072</v>
      </c>
      <c r="S140" s="9">
        <v>143938</v>
      </c>
      <c r="T140" s="9"/>
      <c r="U140" s="9">
        <v>130897</v>
      </c>
      <c r="V140" s="9">
        <v>99553</v>
      </c>
      <c r="W140" s="9">
        <v>126178</v>
      </c>
      <c r="X140" s="9">
        <v>168110</v>
      </c>
      <c r="Y140" s="9">
        <v>133437</v>
      </c>
      <c r="Z140" s="9">
        <v>106183</v>
      </c>
      <c r="AA140" s="9"/>
      <c r="AB140" s="9">
        <v>10464</v>
      </c>
      <c r="AC140" s="9">
        <v>188812</v>
      </c>
      <c r="AD140" s="9">
        <v>187147</v>
      </c>
      <c r="AE140" s="9"/>
      <c r="AF140" s="9">
        <v>154460</v>
      </c>
      <c r="AG140" s="9">
        <v>162106</v>
      </c>
      <c r="AH140" s="9">
        <v>97273</v>
      </c>
      <c r="AI140" s="9">
        <v>206085</v>
      </c>
      <c r="AJ140" s="9">
        <v>193482</v>
      </c>
      <c r="AK140" s="9">
        <v>256591</v>
      </c>
      <c r="AL140" s="9">
        <v>127859</v>
      </c>
      <c r="AM140" s="10">
        <f t="shared" si="10"/>
        <v>4186231</v>
      </c>
    </row>
    <row r="141" spans="1:39" ht="12.75">
      <c r="A141" s="8" t="s">
        <v>42</v>
      </c>
      <c r="B141" s="9"/>
      <c r="C141" s="9"/>
      <c r="D141" s="9"/>
      <c r="E141" s="9">
        <v>10866</v>
      </c>
      <c r="F141" s="9"/>
      <c r="G141" s="9">
        <v>8075</v>
      </c>
      <c r="H141" s="9">
        <v>11645</v>
      </c>
      <c r="I141" s="9">
        <v>5736</v>
      </c>
      <c r="J141" s="9">
        <v>10268</v>
      </c>
      <c r="K141" s="9">
        <v>8120</v>
      </c>
      <c r="L141" s="9"/>
      <c r="M141" s="9">
        <v>10360</v>
      </c>
      <c r="N141" s="9">
        <v>6950</v>
      </c>
      <c r="O141" s="9">
        <v>13780</v>
      </c>
      <c r="P141" s="9">
        <v>6679</v>
      </c>
      <c r="Q141" s="9">
        <v>9172</v>
      </c>
      <c r="R141" s="9">
        <v>13175</v>
      </c>
      <c r="S141" s="9">
        <v>8100</v>
      </c>
      <c r="T141" s="9"/>
      <c r="U141" s="9">
        <v>8655</v>
      </c>
      <c r="V141" s="9">
        <v>7236</v>
      </c>
      <c r="W141" s="9">
        <v>10885</v>
      </c>
      <c r="X141" s="9">
        <v>10894</v>
      </c>
      <c r="Y141" s="9">
        <v>9827</v>
      </c>
      <c r="Z141" s="9">
        <v>7970</v>
      </c>
      <c r="AA141" s="9"/>
      <c r="AB141" s="9"/>
      <c r="AC141" s="9">
        <v>13597</v>
      </c>
      <c r="AD141" s="9">
        <v>13791</v>
      </c>
      <c r="AE141" s="9"/>
      <c r="AF141" s="9">
        <v>9950</v>
      </c>
      <c r="AG141" s="9">
        <v>10877</v>
      </c>
      <c r="AH141" s="9">
        <v>7812</v>
      </c>
      <c r="AI141" s="9">
        <v>17897</v>
      </c>
      <c r="AJ141" s="9">
        <v>12300</v>
      </c>
      <c r="AK141" s="9">
        <v>17961</v>
      </c>
      <c r="AL141" s="9">
        <v>6482</v>
      </c>
      <c r="AM141" s="10">
        <f t="shared" si="10"/>
        <v>289060</v>
      </c>
    </row>
    <row r="142" spans="1:39" ht="12.75">
      <c r="A142" s="8" t="s">
        <v>43</v>
      </c>
      <c r="B142" s="9"/>
      <c r="C142" s="9"/>
      <c r="D142" s="9"/>
      <c r="E142" s="9">
        <v>26173</v>
      </c>
      <c r="F142" s="9"/>
      <c r="G142" s="9">
        <v>17105</v>
      </c>
      <c r="H142" s="9">
        <v>25306</v>
      </c>
      <c r="I142" s="9">
        <v>15875</v>
      </c>
      <c r="J142" s="9">
        <v>28039</v>
      </c>
      <c r="K142" s="9">
        <v>19793</v>
      </c>
      <c r="L142" s="9"/>
      <c r="M142" s="9">
        <v>28018</v>
      </c>
      <c r="N142" s="9">
        <v>15831</v>
      </c>
      <c r="O142" s="9">
        <v>32922</v>
      </c>
      <c r="P142" s="9">
        <v>14261</v>
      </c>
      <c r="Q142" s="9">
        <v>25906</v>
      </c>
      <c r="R142" s="9">
        <v>32733</v>
      </c>
      <c r="S142" s="9">
        <v>23649</v>
      </c>
      <c r="T142" s="9"/>
      <c r="U142" s="9">
        <v>21793</v>
      </c>
      <c r="V142" s="9">
        <v>16598</v>
      </c>
      <c r="W142" s="9">
        <v>21431</v>
      </c>
      <c r="X142" s="9">
        <v>27901</v>
      </c>
      <c r="Y142" s="9">
        <v>22063</v>
      </c>
      <c r="Z142" s="9">
        <v>17839</v>
      </c>
      <c r="AA142" s="9"/>
      <c r="AB142" s="9">
        <v>1600</v>
      </c>
      <c r="AC142" s="9">
        <v>31518</v>
      </c>
      <c r="AD142" s="9">
        <v>31382</v>
      </c>
      <c r="AE142" s="9"/>
      <c r="AF142" s="9">
        <v>25642</v>
      </c>
      <c r="AG142" s="9">
        <v>26954</v>
      </c>
      <c r="AH142" s="9">
        <v>16361</v>
      </c>
      <c r="AI142" s="9">
        <v>34891</v>
      </c>
      <c r="AJ142" s="9">
        <v>32194</v>
      </c>
      <c r="AK142" s="9">
        <v>42812</v>
      </c>
      <c r="AL142" s="9">
        <v>20872</v>
      </c>
      <c r="AM142" s="10">
        <f t="shared" si="10"/>
        <v>697462</v>
      </c>
    </row>
    <row r="143" spans="1:39" ht="12.75">
      <c r="A143" s="8" t="s">
        <v>44</v>
      </c>
      <c r="B143" s="9"/>
      <c r="C143" s="9"/>
      <c r="D143" s="9"/>
      <c r="E143" s="9">
        <v>4164</v>
      </c>
      <c r="F143" s="9"/>
      <c r="G143" s="9">
        <v>2721</v>
      </c>
      <c r="H143" s="9">
        <v>4026</v>
      </c>
      <c r="I143" s="9">
        <v>2526</v>
      </c>
      <c r="J143" s="9">
        <v>4461</v>
      </c>
      <c r="K143" s="9">
        <v>3149</v>
      </c>
      <c r="L143" s="9"/>
      <c r="M143" s="9">
        <v>4457</v>
      </c>
      <c r="N143" s="9">
        <v>2519</v>
      </c>
      <c r="O143" s="9">
        <v>5232</v>
      </c>
      <c r="P143" s="9">
        <v>2269</v>
      </c>
      <c r="Q143" s="9">
        <v>4121</v>
      </c>
      <c r="R143" s="9">
        <v>5207</v>
      </c>
      <c r="S143" s="9">
        <v>3762</v>
      </c>
      <c r="T143" s="9"/>
      <c r="U143" s="9">
        <v>3467</v>
      </c>
      <c r="V143" s="9">
        <v>2641</v>
      </c>
      <c r="W143" s="9">
        <v>3409</v>
      </c>
      <c r="X143" s="9">
        <v>4439</v>
      </c>
      <c r="Y143" s="9">
        <v>3510</v>
      </c>
      <c r="Z143" s="9">
        <v>2838</v>
      </c>
      <c r="AA143" s="9"/>
      <c r="AB143" s="9">
        <v>260</v>
      </c>
      <c r="AC143" s="9">
        <v>5014</v>
      </c>
      <c r="AD143" s="9">
        <v>4993</v>
      </c>
      <c r="AE143" s="9"/>
      <c r="AF143" s="9">
        <v>4079</v>
      </c>
      <c r="AG143" s="9">
        <v>4288</v>
      </c>
      <c r="AH143" s="9">
        <v>2603</v>
      </c>
      <c r="AI143" s="9">
        <v>5551</v>
      </c>
      <c r="AJ143" s="9">
        <v>5122</v>
      </c>
      <c r="AK143" s="9">
        <v>6811</v>
      </c>
      <c r="AL143" s="9">
        <v>3320</v>
      </c>
      <c r="AM143" s="10">
        <f t="shared" si="10"/>
        <v>110959</v>
      </c>
    </row>
    <row r="144" spans="1:39" ht="12.75">
      <c r="A144" s="8" t="s">
        <v>45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600</v>
      </c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10">
        <f t="shared" si="10"/>
        <v>600</v>
      </c>
    </row>
    <row r="145" spans="1:39" ht="12.75">
      <c r="A145" s="8" t="s">
        <v>47</v>
      </c>
      <c r="B145" s="9"/>
      <c r="C145" s="9"/>
      <c r="D145" s="9"/>
      <c r="E145" s="9">
        <v>1800</v>
      </c>
      <c r="F145" s="9"/>
      <c r="G145" s="9"/>
      <c r="H145" s="9">
        <v>2500</v>
      </c>
      <c r="I145" s="9"/>
      <c r="J145" s="9"/>
      <c r="K145" s="9">
        <v>1500</v>
      </c>
      <c r="L145" s="9"/>
      <c r="M145" s="9">
        <v>600</v>
      </c>
      <c r="N145" s="9">
        <v>620</v>
      </c>
      <c r="O145" s="9">
        <v>2000</v>
      </c>
      <c r="P145" s="9">
        <v>2000</v>
      </c>
      <c r="Q145" s="9">
        <v>1100</v>
      </c>
      <c r="R145" s="9">
        <v>1600</v>
      </c>
      <c r="S145" s="9"/>
      <c r="T145" s="9"/>
      <c r="U145" s="9">
        <v>500</v>
      </c>
      <c r="V145" s="9">
        <v>1800</v>
      </c>
      <c r="W145" s="9">
        <v>4000</v>
      </c>
      <c r="X145" s="9">
        <v>2000</v>
      </c>
      <c r="Y145" s="9">
        <v>500</v>
      </c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>
        <v>3000</v>
      </c>
      <c r="AL145" s="9"/>
      <c r="AM145" s="10">
        <f t="shared" si="10"/>
        <v>25520</v>
      </c>
    </row>
    <row r="146" spans="1:39" ht="12.75">
      <c r="A146" s="8" t="s">
        <v>49</v>
      </c>
      <c r="B146" s="9"/>
      <c r="C146" s="9"/>
      <c r="D146" s="9"/>
      <c r="E146" s="9"/>
      <c r="F146" s="9"/>
      <c r="G146" s="9"/>
      <c r="H146" s="9"/>
      <c r="I146" s="9"/>
      <c r="J146" s="9"/>
      <c r="K146" s="9">
        <v>1100</v>
      </c>
      <c r="L146" s="9"/>
      <c r="M146" s="9">
        <v>1000</v>
      </c>
      <c r="N146" s="9">
        <v>900</v>
      </c>
      <c r="O146" s="9"/>
      <c r="P146" s="9"/>
      <c r="Q146" s="9">
        <v>500</v>
      </c>
      <c r="R146" s="9">
        <v>300</v>
      </c>
      <c r="S146" s="9"/>
      <c r="T146" s="9"/>
      <c r="U146" s="9"/>
      <c r="V146" s="9">
        <v>500</v>
      </c>
      <c r="W146" s="9">
        <v>1000</v>
      </c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>
        <v>1000</v>
      </c>
      <c r="AJ146" s="9"/>
      <c r="AK146" s="9">
        <v>500</v>
      </c>
      <c r="AL146" s="9"/>
      <c r="AM146" s="10">
        <f t="shared" si="10"/>
        <v>6800</v>
      </c>
    </row>
    <row r="147" spans="1:39" ht="12.75">
      <c r="A147" s="8" t="s">
        <v>50</v>
      </c>
      <c r="B147" s="9"/>
      <c r="C147" s="9"/>
      <c r="D147" s="9"/>
      <c r="E147" s="9">
        <v>5160</v>
      </c>
      <c r="F147" s="9"/>
      <c r="G147" s="9">
        <v>14100</v>
      </c>
      <c r="H147" s="9">
        <v>18720</v>
      </c>
      <c r="I147" s="9"/>
      <c r="J147" s="9"/>
      <c r="K147" s="9">
        <v>4915</v>
      </c>
      <c r="L147" s="9"/>
      <c r="M147" s="9">
        <v>3150</v>
      </c>
      <c r="N147" s="9">
        <v>7670</v>
      </c>
      <c r="O147" s="9">
        <v>6600</v>
      </c>
      <c r="P147" s="9">
        <v>1131</v>
      </c>
      <c r="Q147" s="9"/>
      <c r="R147" s="9">
        <v>6444</v>
      </c>
      <c r="S147" s="9"/>
      <c r="T147" s="9"/>
      <c r="U147" s="9">
        <v>1560</v>
      </c>
      <c r="V147" s="9"/>
      <c r="W147" s="9">
        <v>17759</v>
      </c>
      <c r="X147" s="9"/>
      <c r="Y147" s="9">
        <v>8286</v>
      </c>
      <c r="Z147" s="9"/>
      <c r="AA147" s="9"/>
      <c r="AB147" s="9"/>
      <c r="AC147" s="9"/>
      <c r="AD147" s="9">
        <v>9562</v>
      </c>
      <c r="AE147" s="9"/>
      <c r="AF147" s="9">
        <v>2200</v>
      </c>
      <c r="AG147" s="9">
        <v>19546</v>
      </c>
      <c r="AH147" s="9">
        <v>2203</v>
      </c>
      <c r="AI147" s="9">
        <v>10100</v>
      </c>
      <c r="AJ147" s="9"/>
      <c r="AK147" s="9">
        <v>10888</v>
      </c>
      <c r="AL147" s="9">
        <v>1844</v>
      </c>
      <c r="AM147" s="10">
        <f t="shared" si="10"/>
        <v>151838</v>
      </c>
    </row>
    <row r="148" spans="1:39" ht="12.75">
      <c r="A148" s="8" t="s">
        <v>51</v>
      </c>
      <c r="B148" s="9"/>
      <c r="C148" s="9"/>
      <c r="D148" s="9"/>
      <c r="E148" s="9">
        <v>600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>
        <v>500</v>
      </c>
      <c r="AL148" s="9"/>
      <c r="AM148" s="10">
        <f t="shared" si="10"/>
        <v>1100</v>
      </c>
    </row>
    <row r="149" spans="1:39" ht="12.75">
      <c r="A149" s="8" t="s">
        <v>52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>
        <v>100</v>
      </c>
      <c r="S149" s="9"/>
      <c r="T149" s="9"/>
      <c r="U149" s="9"/>
      <c r="V149" s="9"/>
      <c r="W149" s="9"/>
      <c r="X149" s="9">
        <v>1000</v>
      </c>
      <c r="Y149" s="9"/>
      <c r="Z149" s="9"/>
      <c r="AA149" s="9"/>
      <c r="AB149" s="9"/>
      <c r="AC149" s="9">
        <v>500</v>
      </c>
      <c r="AD149" s="9">
        <v>420</v>
      </c>
      <c r="AE149" s="9"/>
      <c r="AF149" s="9"/>
      <c r="AG149" s="9"/>
      <c r="AH149" s="9"/>
      <c r="AI149" s="9"/>
      <c r="AJ149" s="9"/>
      <c r="AK149" s="9"/>
      <c r="AL149" s="9"/>
      <c r="AM149" s="10">
        <f t="shared" si="10"/>
        <v>2020</v>
      </c>
    </row>
    <row r="150" spans="1:39" ht="12.75">
      <c r="A150" s="8" t="s">
        <v>53</v>
      </c>
      <c r="B150" s="9"/>
      <c r="C150" s="9"/>
      <c r="D150" s="9"/>
      <c r="E150" s="9">
        <v>600</v>
      </c>
      <c r="F150" s="9"/>
      <c r="G150" s="9">
        <v>2000</v>
      </c>
      <c r="H150" s="9">
        <v>3636</v>
      </c>
      <c r="I150" s="9"/>
      <c r="J150" s="9">
        <v>374</v>
      </c>
      <c r="K150" s="9">
        <v>1200</v>
      </c>
      <c r="L150" s="9"/>
      <c r="M150" s="9">
        <v>500</v>
      </c>
      <c r="N150" s="9">
        <v>675</v>
      </c>
      <c r="O150" s="9">
        <v>3500</v>
      </c>
      <c r="P150" s="9"/>
      <c r="Q150" s="9"/>
      <c r="R150" s="9">
        <v>1000</v>
      </c>
      <c r="S150" s="9"/>
      <c r="T150" s="9"/>
      <c r="U150" s="9">
        <v>500</v>
      </c>
      <c r="V150" s="9">
        <v>900</v>
      </c>
      <c r="W150" s="9">
        <v>3000</v>
      </c>
      <c r="X150" s="9"/>
      <c r="Y150" s="9"/>
      <c r="Z150" s="9"/>
      <c r="AA150" s="9"/>
      <c r="AB150" s="9"/>
      <c r="AC150" s="9">
        <v>500</v>
      </c>
      <c r="AD150" s="9">
        <v>80</v>
      </c>
      <c r="AE150" s="9"/>
      <c r="AF150" s="9"/>
      <c r="AG150" s="9"/>
      <c r="AH150" s="9"/>
      <c r="AI150" s="9"/>
      <c r="AJ150" s="9"/>
      <c r="AK150" s="9">
        <v>1980</v>
      </c>
      <c r="AL150" s="9"/>
      <c r="AM150" s="10">
        <f t="shared" si="10"/>
        <v>20445</v>
      </c>
    </row>
    <row r="151" spans="1:39" ht="12.75">
      <c r="A151" s="8" t="s">
        <v>56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>
        <v>50</v>
      </c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10">
        <f t="shared" si="10"/>
        <v>50</v>
      </c>
    </row>
    <row r="152" spans="1:39" ht="12.75">
      <c r="A152" s="8" t="s">
        <v>57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>
        <v>50</v>
      </c>
      <c r="O152" s="9"/>
      <c r="P152" s="9"/>
      <c r="Q152" s="9">
        <v>200</v>
      </c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>
        <v>250</v>
      </c>
      <c r="AE152" s="9"/>
      <c r="AF152" s="9"/>
      <c r="AG152" s="9"/>
      <c r="AH152" s="9"/>
      <c r="AI152" s="9"/>
      <c r="AJ152" s="9"/>
      <c r="AK152" s="9"/>
      <c r="AL152" s="9"/>
      <c r="AM152" s="10">
        <f t="shared" si="10"/>
        <v>500</v>
      </c>
    </row>
    <row r="153" spans="1:39" ht="12.75">
      <c r="A153" s="8" t="s">
        <v>61</v>
      </c>
      <c r="B153" s="9"/>
      <c r="C153" s="9"/>
      <c r="D153" s="9"/>
      <c r="E153" s="9">
        <v>13970</v>
      </c>
      <c r="F153" s="9"/>
      <c r="G153" s="9">
        <v>7620</v>
      </c>
      <c r="H153" s="9">
        <v>10160</v>
      </c>
      <c r="I153" s="9">
        <v>7036</v>
      </c>
      <c r="J153" s="9">
        <v>12700</v>
      </c>
      <c r="K153" s="9">
        <v>10160</v>
      </c>
      <c r="L153" s="9"/>
      <c r="M153" s="9">
        <v>12700</v>
      </c>
      <c r="N153" s="9">
        <v>7620</v>
      </c>
      <c r="O153" s="9">
        <v>15240</v>
      </c>
      <c r="P153" s="9">
        <v>7620</v>
      </c>
      <c r="Q153" s="9">
        <v>15240</v>
      </c>
      <c r="R153" s="9">
        <v>7315</v>
      </c>
      <c r="S153" s="9">
        <v>10160</v>
      </c>
      <c r="T153" s="9"/>
      <c r="U153" s="9">
        <v>7620</v>
      </c>
      <c r="V153" s="9">
        <v>7239</v>
      </c>
      <c r="W153" s="9">
        <v>10160</v>
      </c>
      <c r="X153" s="9">
        <v>12700</v>
      </c>
      <c r="Y153" s="9">
        <v>10160</v>
      </c>
      <c r="Z153" s="9">
        <v>7620</v>
      </c>
      <c r="AA153" s="9"/>
      <c r="AB153" s="9"/>
      <c r="AC153" s="9">
        <v>16612</v>
      </c>
      <c r="AD153" s="9">
        <v>15240</v>
      </c>
      <c r="AE153" s="9"/>
      <c r="AF153" s="9">
        <v>10160</v>
      </c>
      <c r="AG153" s="9">
        <v>11430</v>
      </c>
      <c r="AH153" s="9">
        <v>7620</v>
      </c>
      <c r="AI153" s="9">
        <v>15240</v>
      </c>
      <c r="AJ153" s="9">
        <v>15240</v>
      </c>
      <c r="AK153" s="9">
        <v>20320</v>
      </c>
      <c r="AL153" s="9">
        <v>8890</v>
      </c>
      <c r="AM153" s="10">
        <f t="shared" si="10"/>
        <v>313792</v>
      </c>
    </row>
    <row r="154" spans="1:39" ht="12.75">
      <c r="A154" s="8" t="s">
        <v>64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>
        <v>500</v>
      </c>
      <c r="AL154" s="9"/>
      <c r="AM154" s="10">
        <f t="shared" si="10"/>
        <v>500</v>
      </c>
    </row>
    <row r="155" spans="1:39" ht="12.75">
      <c r="A155" s="8" t="s">
        <v>79</v>
      </c>
      <c r="B155" s="10">
        <f aca="true" t="shared" si="13" ref="B155:AL155">SUM(B139:B154)</f>
        <v>0</v>
      </c>
      <c r="C155" s="10">
        <f t="shared" si="13"/>
        <v>0</v>
      </c>
      <c r="D155" s="10">
        <f t="shared" si="13"/>
        <v>0</v>
      </c>
      <c r="E155" s="10">
        <f t="shared" si="13"/>
        <v>221158</v>
      </c>
      <c r="F155" s="10">
        <f t="shared" si="13"/>
        <v>0</v>
      </c>
      <c r="G155" s="10">
        <f t="shared" si="13"/>
        <v>154945</v>
      </c>
      <c r="H155" s="10">
        <f t="shared" si="13"/>
        <v>226023</v>
      </c>
      <c r="I155" s="10">
        <f t="shared" si="13"/>
        <v>127701</v>
      </c>
      <c r="J155" s="10">
        <f t="shared" si="13"/>
        <v>226282</v>
      </c>
      <c r="K155" s="10">
        <f t="shared" si="13"/>
        <v>169297</v>
      </c>
      <c r="L155" s="10">
        <f t="shared" si="13"/>
        <v>0</v>
      </c>
      <c r="M155" s="10">
        <f t="shared" si="13"/>
        <v>230946</v>
      </c>
      <c r="N155" s="10">
        <f t="shared" si="13"/>
        <v>137689</v>
      </c>
      <c r="O155" s="10">
        <f t="shared" si="13"/>
        <v>275128</v>
      </c>
      <c r="P155" s="10">
        <f t="shared" si="13"/>
        <v>119617</v>
      </c>
      <c r="Q155" s="10">
        <f t="shared" si="13"/>
        <v>213751</v>
      </c>
      <c r="R155" s="10">
        <f t="shared" si="13"/>
        <v>266318</v>
      </c>
      <c r="S155" s="10">
        <f t="shared" si="13"/>
        <v>190031</v>
      </c>
      <c r="T155" s="10">
        <f t="shared" si="13"/>
        <v>0</v>
      </c>
      <c r="U155" s="10">
        <f t="shared" si="13"/>
        <v>175329</v>
      </c>
      <c r="V155" s="10">
        <f t="shared" si="13"/>
        <v>136772</v>
      </c>
      <c r="W155" s="10">
        <f t="shared" si="13"/>
        <v>198231</v>
      </c>
      <c r="X155" s="10">
        <f t="shared" si="13"/>
        <v>227584</v>
      </c>
      <c r="Y155" s="10">
        <f t="shared" si="13"/>
        <v>188217</v>
      </c>
      <c r="Z155" s="10">
        <f t="shared" si="13"/>
        <v>142781</v>
      </c>
      <c r="AA155" s="10">
        <f t="shared" si="13"/>
        <v>0</v>
      </c>
      <c r="AB155" s="10">
        <f t="shared" si="13"/>
        <v>12324</v>
      </c>
      <c r="AC155" s="10">
        <f t="shared" si="13"/>
        <v>257174</v>
      </c>
      <c r="AD155" s="10">
        <f t="shared" si="13"/>
        <v>263478</v>
      </c>
      <c r="AE155" s="10">
        <f t="shared" si="13"/>
        <v>0</v>
      </c>
      <c r="AF155" s="10">
        <f t="shared" si="13"/>
        <v>206906</v>
      </c>
      <c r="AG155" s="10">
        <f t="shared" si="13"/>
        <v>235721</v>
      </c>
      <c r="AH155" s="10">
        <f t="shared" si="13"/>
        <v>134180</v>
      </c>
      <c r="AI155" s="10">
        <f t="shared" si="13"/>
        <v>291424</v>
      </c>
      <c r="AJ155" s="10">
        <f t="shared" si="13"/>
        <v>258961</v>
      </c>
      <c r="AK155" s="10">
        <f t="shared" si="13"/>
        <v>362696</v>
      </c>
      <c r="AL155" s="10">
        <f t="shared" si="13"/>
        <v>169621</v>
      </c>
      <c r="AM155" s="10">
        <f t="shared" si="10"/>
        <v>5820285</v>
      </c>
    </row>
    <row r="156" spans="1:39" ht="12.75">
      <c r="A156" s="8" t="s">
        <v>47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>
        <v>1500</v>
      </c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>
        <v>3509</v>
      </c>
      <c r="AH156" s="9"/>
      <c r="AI156" s="9"/>
      <c r="AJ156" s="9"/>
      <c r="AK156" s="9">
        <v>2000</v>
      </c>
      <c r="AL156" s="9"/>
      <c r="AM156" s="10">
        <f t="shared" si="10"/>
        <v>7009</v>
      </c>
    </row>
    <row r="157" spans="1:39" ht="12.75">
      <c r="A157" s="8" t="s">
        <v>75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>
        <v>2500</v>
      </c>
      <c r="AH157" s="9"/>
      <c r="AI157" s="9"/>
      <c r="AJ157" s="9"/>
      <c r="AK157" s="9"/>
      <c r="AL157" s="9"/>
      <c r="AM157" s="10">
        <f t="shared" si="10"/>
        <v>2500</v>
      </c>
    </row>
    <row r="158" spans="1:39" ht="12.75">
      <c r="A158" s="8" t="s">
        <v>53</v>
      </c>
      <c r="B158" s="9"/>
      <c r="C158" s="9"/>
      <c r="D158" s="9"/>
      <c r="E158" s="9"/>
      <c r="F158" s="9"/>
      <c r="G158" s="9"/>
      <c r="H158" s="9">
        <v>5000</v>
      </c>
      <c r="I158" s="9"/>
      <c r="J158" s="9">
        <v>2500</v>
      </c>
      <c r="K158" s="9"/>
      <c r="L158" s="9"/>
      <c r="M158" s="9"/>
      <c r="N158" s="9"/>
      <c r="O158" s="9"/>
      <c r="P158" s="9">
        <v>1980</v>
      </c>
      <c r="Q158" s="9"/>
      <c r="R158" s="9"/>
      <c r="S158" s="9"/>
      <c r="T158" s="9">
        <v>2000</v>
      </c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>
        <v>1980</v>
      </c>
      <c r="AG158" s="9">
        <v>2500</v>
      </c>
      <c r="AH158" s="9"/>
      <c r="AI158" s="9"/>
      <c r="AJ158" s="9">
        <v>1980</v>
      </c>
      <c r="AK158" s="9">
        <v>5000</v>
      </c>
      <c r="AL158" s="9"/>
      <c r="AM158" s="10">
        <f t="shared" si="10"/>
        <v>22940</v>
      </c>
    </row>
    <row r="159" spans="1:39" ht="12.75">
      <c r="A159" s="8" t="s">
        <v>80</v>
      </c>
      <c r="B159" s="9">
        <f aca="true" t="shared" si="14" ref="B159:AL159">SUM(B156:B158)</f>
        <v>0</v>
      </c>
      <c r="C159" s="9">
        <f t="shared" si="14"/>
        <v>0</v>
      </c>
      <c r="D159" s="9">
        <f t="shared" si="14"/>
        <v>0</v>
      </c>
      <c r="E159" s="9">
        <f t="shared" si="14"/>
        <v>0</v>
      </c>
      <c r="F159" s="9">
        <f t="shared" si="14"/>
        <v>0</v>
      </c>
      <c r="G159" s="9">
        <f t="shared" si="14"/>
        <v>0</v>
      </c>
      <c r="H159" s="9">
        <f t="shared" si="14"/>
        <v>5000</v>
      </c>
      <c r="I159" s="9">
        <f t="shared" si="14"/>
        <v>0</v>
      </c>
      <c r="J159" s="9">
        <f t="shared" si="14"/>
        <v>2500</v>
      </c>
      <c r="K159" s="9">
        <f t="shared" si="14"/>
        <v>0</v>
      </c>
      <c r="L159" s="9">
        <f t="shared" si="14"/>
        <v>0</v>
      </c>
      <c r="M159" s="9">
        <f t="shared" si="14"/>
        <v>0</v>
      </c>
      <c r="N159" s="9">
        <f t="shared" si="14"/>
        <v>0</v>
      </c>
      <c r="O159" s="9">
        <f t="shared" si="14"/>
        <v>0</v>
      </c>
      <c r="P159" s="9">
        <f t="shared" si="14"/>
        <v>1980</v>
      </c>
      <c r="Q159" s="9">
        <f t="shared" si="14"/>
        <v>1500</v>
      </c>
      <c r="R159" s="9">
        <f t="shared" si="14"/>
        <v>0</v>
      </c>
      <c r="S159" s="9">
        <f t="shared" si="14"/>
        <v>0</v>
      </c>
      <c r="T159" s="9">
        <f t="shared" si="14"/>
        <v>2000</v>
      </c>
      <c r="U159" s="9">
        <f t="shared" si="14"/>
        <v>0</v>
      </c>
      <c r="V159" s="9">
        <f t="shared" si="14"/>
        <v>0</v>
      </c>
      <c r="W159" s="9">
        <f t="shared" si="14"/>
        <v>0</v>
      </c>
      <c r="X159" s="9">
        <f t="shared" si="14"/>
        <v>0</v>
      </c>
      <c r="Y159" s="9">
        <f t="shared" si="14"/>
        <v>0</v>
      </c>
      <c r="Z159" s="9">
        <f t="shared" si="14"/>
        <v>0</v>
      </c>
      <c r="AA159" s="9">
        <f t="shared" si="14"/>
        <v>0</v>
      </c>
      <c r="AB159" s="9">
        <f t="shared" si="14"/>
        <v>0</v>
      </c>
      <c r="AC159" s="9">
        <f t="shared" si="14"/>
        <v>0</v>
      </c>
      <c r="AD159" s="9">
        <f t="shared" si="14"/>
        <v>0</v>
      </c>
      <c r="AE159" s="9">
        <f t="shared" si="14"/>
        <v>0</v>
      </c>
      <c r="AF159" s="9">
        <f t="shared" si="14"/>
        <v>1980</v>
      </c>
      <c r="AG159" s="9">
        <f t="shared" si="14"/>
        <v>8509</v>
      </c>
      <c r="AH159" s="9">
        <f t="shared" si="14"/>
        <v>0</v>
      </c>
      <c r="AI159" s="9">
        <f t="shared" si="14"/>
        <v>0</v>
      </c>
      <c r="AJ159" s="9">
        <f t="shared" si="14"/>
        <v>1980</v>
      </c>
      <c r="AK159" s="9">
        <f t="shared" si="14"/>
        <v>7000</v>
      </c>
      <c r="AL159" s="9">
        <f t="shared" si="14"/>
        <v>0</v>
      </c>
      <c r="AM159" s="10">
        <f t="shared" si="10"/>
        <v>32449</v>
      </c>
    </row>
    <row r="160" spans="1:39" ht="12.75" hidden="1">
      <c r="A160" s="8" t="s">
        <v>40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10">
        <f t="shared" si="10"/>
        <v>0</v>
      </c>
    </row>
    <row r="161" spans="1:39" ht="12.75" hidden="1">
      <c r="A161" s="8" t="s">
        <v>41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10">
        <f t="shared" si="10"/>
        <v>0</v>
      </c>
    </row>
    <row r="162" spans="1:39" ht="12.75" hidden="1">
      <c r="A162" s="8" t="s">
        <v>42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10">
        <f t="shared" si="10"/>
        <v>0</v>
      </c>
    </row>
    <row r="163" spans="1:39" ht="12.75" hidden="1">
      <c r="A163" s="8" t="s">
        <v>43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10">
        <f t="shared" si="10"/>
        <v>0</v>
      </c>
    </row>
    <row r="164" spans="1:39" ht="12.75" hidden="1">
      <c r="A164" s="8" t="s">
        <v>44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10">
        <f aca="true" t="shared" si="15" ref="AM164:AM184">SUM(B164:AL164)</f>
        <v>0</v>
      </c>
    </row>
    <row r="165" spans="1:39" ht="12.75" hidden="1">
      <c r="A165" s="8" t="s">
        <v>45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10">
        <f t="shared" si="15"/>
        <v>0</v>
      </c>
    </row>
    <row r="166" spans="1:39" ht="12.75" hidden="1">
      <c r="A166" s="8" t="s">
        <v>46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10">
        <f t="shared" si="15"/>
        <v>0</v>
      </c>
    </row>
    <row r="167" spans="1:39" ht="12.75" hidden="1">
      <c r="A167" s="8" t="s">
        <v>47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10">
        <f t="shared" si="15"/>
        <v>0</v>
      </c>
    </row>
    <row r="168" spans="1:39" ht="12.75" hidden="1">
      <c r="A168" s="8" t="s">
        <v>49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10">
        <f t="shared" si="15"/>
        <v>0</v>
      </c>
    </row>
    <row r="169" spans="1:39" ht="12.75" hidden="1">
      <c r="A169" s="8" t="s">
        <v>50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10">
        <f t="shared" si="15"/>
        <v>0</v>
      </c>
    </row>
    <row r="170" spans="1:39" ht="12.75" hidden="1">
      <c r="A170" s="8" t="s">
        <v>51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10">
        <f t="shared" si="15"/>
        <v>0</v>
      </c>
    </row>
    <row r="171" spans="1:39" ht="12.75" hidden="1">
      <c r="A171" s="8" t="s">
        <v>52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10">
        <f t="shared" si="15"/>
        <v>0</v>
      </c>
    </row>
    <row r="172" spans="1:39" ht="12.75" hidden="1">
      <c r="A172" s="8" t="s">
        <v>53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10">
        <f t="shared" si="15"/>
        <v>0</v>
      </c>
    </row>
    <row r="173" spans="1:39" ht="12.75" hidden="1">
      <c r="A173" s="8" t="s">
        <v>55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10">
        <f t="shared" si="15"/>
        <v>0</v>
      </c>
    </row>
    <row r="174" spans="1:39" ht="12.75" hidden="1">
      <c r="A174" s="8" t="s">
        <v>56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10">
        <f t="shared" si="15"/>
        <v>0</v>
      </c>
    </row>
    <row r="175" spans="1:39" ht="12.75" hidden="1">
      <c r="A175" s="8" t="s">
        <v>57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10">
        <f t="shared" si="15"/>
        <v>0</v>
      </c>
    </row>
    <row r="176" spans="1:39" ht="12.75" hidden="1">
      <c r="A176" s="8" t="s">
        <v>58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10">
        <f t="shared" si="15"/>
        <v>0</v>
      </c>
    </row>
    <row r="177" spans="1:39" ht="12.75" hidden="1">
      <c r="A177" s="8" t="s">
        <v>60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10">
        <f t="shared" si="15"/>
        <v>0</v>
      </c>
    </row>
    <row r="178" spans="1:39" ht="12.75" hidden="1">
      <c r="A178" s="8" t="s">
        <v>61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10">
        <f t="shared" si="15"/>
        <v>0</v>
      </c>
    </row>
    <row r="179" spans="1:39" ht="12.75" hidden="1">
      <c r="A179" s="8" t="s">
        <v>62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10">
        <f t="shared" si="15"/>
        <v>0</v>
      </c>
    </row>
    <row r="180" spans="1:39" ht="12.75" hidden="1">
      <c r="A180" s="8" t="s">
        <v>63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10">
        <f t="shared" si="15"/>
        <v>0</v>
      </c>
    </row>
    <row r="181" spans="1:39" ht="12.75" hidden="1">
      <c r="A181" s="8" t="s">
        <v>64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10">
        <f t="shared" si="15"/>
        <v>0</v>
      </c>
    </row>
    <row r="182" spans="1:39" ht="12.75" hidden="1">
      <c r="A182" s="8" t="s">
        <v>66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10">
        <f t="shared" si="15"/>
        <v>0</v>
      </c>
    </row>
    <row r="183" spans="1:39" ht="12.75" hidden="1">
      <c r="A183" s="8" t="s">
        <v>67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10">
        <f t="shared" si="15"/>
        <v>0</v>
      </c>
    </row>
    <row r="184" spans="1:39" ht="12.75" hidden="1">
      <c r="A184" s="12"/>
      <c r="B184" s="9">
        <f aca="true" t="shared" si="16" ref="B184:AL184">SUM(B160:B183)</f>
        <v>0</v>
      </c>
      <c r="C184" s="9">
        <f t="shared" si="16"/>
        <v>0</v>
      </c>
      <c r="D184" s="9">
        <f t="shared" si="16"/>
        <v>0</v>
      </c>
      <c r="E184" s="9">
        <f t="shared" si="16"/>
        <v>0</v>
      </c>
      <c r="F184" s="9">
        <f t="shared" si="16"/>
        <v>0</v>
      </c>
      <c r="G184" s="9">
        <f t="shared" si="16"/>
        <v>0</v>
      </c>
      <c r="H184" s="9">
        <f t="shared" si="16"/>
        <v>0</v>
      </c>
      <c r="I184" s="9">
        <f t="shared" si="16"/>
        <v>0</v>
      </c>
      <c r="J184" s="9">
        <f t="shared" si="16"/>
        <v>0</v>
      </c>
      <c r="K184" s="9">
        <f t="shared" si="16"/>
        <v>0</v>
      </c>
      <c r="L184" s="9">
        <f t="shared" si="16"/>
        <v>0</v>
      </c>
      <c r="M184" s="9">
        <f t="shared" si="16"/>
        <v>0</v>
      </c>
      <c r="N184" s="9">
        <f t="shared" si="16"/>
        <v>0</v>
      </c>
      <c r="O184" s="9">
        <f t="shared" si="16"/>
        <v>0</v>
      </c>
      <c r="P184" s="9">
        <f t="shared" si="16"/>
        <v>0</v>
      </c>
      <c r="Q184" s="9">
        <f t="shared" si="16"/>
        <v>0</v>
      </c>
      <c r="R184" s="9">
        <f t="shared" si="16"/>
        <v>0</v>
      </c>
      <c r="S184" s="9">
        <f t="shared" si="16"/>
        <v>0</v>
      </c>
      <c r="T184" s="9">
        <f t="shared" si="16"/>
        <v>0</v>
      </c>
      <c r="U184" s="9">
        <f t="shared" si="16"/>
        <v>0</v>
      </c>
      <c r="V184" s="9">
        <f t="shared" si="16"/>
        <v>0</v>
      </c>
      <c r="W184" s="9">
        <f t="shared" si="16"/>
        <v>0</v>
      </c>
      <c r="X184" s="9">
        <f t="shared" si="16"/>
        <v>0</v>
      </c>
      <c r="Y184" s="9">
        <f t="shared" si="16"/>
        <v>0</v>
      </c>
      <c r="Z184" s="9">
        <f t="shared" si="16"/>
        <v>0</v>
      </c>
      <c r="AA184" s="9">
        <f t="shared" si="16"/>
        <v>0</v>
      </c>
      <c r="AB184" s="9">
        <f t="shared" si="16"/>
        <v>0</v>
      </c>
      <c r="AC184" s="9">
        <f t="shared" si="16"/>
        <v>0</v>
      </c>
      <c r="AD184" s="9">
        <f t="shared" si="16"/>
        <v>0</v>
      </c>
      <c r="AE184" s="9">
        <f t="shared" si="16"/>
        <v>0</v>
      </c>
      <c r="AF184" s="9">
        <f t="shared" si="16"/>
        <v>0</v>
      </c>
      <c r="AG184" s="9">
        <f t="shared" si="16"/>
        <v>0</v>
      </c>
      <c r="AH184" s="9">
        <f t="shared" si="16"/>
        <v>0</v>
      </c>
      <c r="AI184" s="9">
        <f t="shared" si="16"/>
        <v>0</v>
      </c>
      <c r="AJ184" s="9">
        <f t="shared" si="16"/>
        <v>0</v>
      </c>
      <c r="AK184" s="9">
        <f t="shared" si="16"/>
        <v>0</v>
      </c>
      <c r="AL184" s="9">
        <f t="shared" si="16"/>
        <v>0</v>
      </c>
      <c r="AM184" s="10">
        <f t="shared" si="15"/>
        <v>0</v>
      </c>
    </row>
    <row r="185" spans="1:39" ht="12.75">
      <c r="A185" s="6" t="s">
        <v>81</v>
      </c>
      <c r="B185" s="10">
        <f aca="true" t="shared" si="17" ref="B185:AM185">B32+B50+B78+B80+B104+B123+B155+B135+B159+B184+B138</f>
        <v>3463879</v>
      </c>
      <c r="C185" s="10">
        <f t="shared" si="17"/>
        <v>2447461</v>
      </c>
      <c r="D185" s="10">
        <f t="shared" si="17"/>
        <v>2779703</v>
      </c>
      <c r="E185" s="10">
        <f t="shared" si="17"/>
        <v>3920789</v>
      </c>
      <c r="F185" s="10">
        <f t="shared" si="17"/>
        <v>3309971</v>
      </c>
      <c r="G185" s="10">
        <f t="shared" si="17"/>
        <v>3539815</v>
      </c>
      <c r="H185" s="10">
        <f t="shared" si="17"/>
        <v>4821930</v>
      </c>
      <c r="I185" s="10">
        <f t="shared" si="17"/>
        <v>3290414</v>
      </c>
      <c r="J185" s="10">
        <f t="shared" si="17"/>
        <v>5013355</v>
      </c>
      <c r="K185" s="10">
        <f t="shared" si="17"/>
        <v>2444580</v>
      </c>
      <c r="L185" s="10">
        <f t="shared" si="17"/>
        <v>3956104</v>
      </c>
      <c r="M185" s="10">
        <f t="shared" si="17"/>
        <v>3095577</v>
      </c>
      <c r="N185" s="10">
        <f t="shared" si="17"/>
        <v>2754563</v>
      </c>
      <c r="O185" s="10">
        <f t="shared" si="17"/>
        <v>4288457</v>
      </c>
      <c r="P185" s="10">
        <f t="shared" si="17"/>
        <v>2681217</v>
      </c>
      <c r="Q185" s="10">
        <f t="shared" si="17"/>
        <v>3178228</v>
      </c>
      <c r="R185" s="10">
        <f t="shared" si="17"/>
        <v>2310219</v>
      </c>
      <c r="S185" s="10">
        <f t="shared" si="17"/>
        <v>2365299</v>
      </c>
      <c r="T185" s="10">
        <f t="shared" si="17"/>
        <v>2982643</v>
      </c>
      <c r="U185" s="10">
        <f t="shared" si="17"/>
        <v>3070277</v>
      </c>
      <c r="V185" s="10">
        <f t="shared" si="17"/>
        <v>2762034</v>
      </c>
      <c r="W185" s="10">
        <f t="shared" si="17"/>
        <v>6965711</v>
      </c>
      <c r="X185" s="10">
        <f t="shared" si="17"/>
        <v>3915720</v>
      </c>
      <c r="Y185" s="10">
        <f t="shared" si="17"/>
        <v>2996167</v>
      </c>
      <c r="Z185" s="10">
        <f t="shared" si="17"/>
        <v>3037922</v>
      </c>
      <c r="AA185" s="10">
        <f t="shared" si="17"/>
        <v>5408523</v>
      </c>
      <c r="AB185" s="10">
        <f t="shared" si="17"/>
        <v>1307117</v>
      </c>
      <c r="AC185" s="10">
        <f t="shared" si="17"/>
        <v>4296026</v>
      </c>
      <c r="AD185" s="10">
        <f t="shared" si="17"/>
        <v>4602091</v>
      </c>
      <c r="AE185" s="10">
        <f t="shared" si="17"/>
        <v>4895162</v>
      </c>
      <c r="AF185" s="10">
        <f t="shared" si="17"/>
        <v>5153881</v>
      </c>
      <c r="AG185" s="10">
        <f t="shared" si="17"/>
        <v>5693611</v>
      </c>
      <c r="AH185" s="10">
        <f t="shared" si="17"/>
        <v>3938822</v>
      </c>
      <c r="AI185" s="10">
        <f t="shared" si="17"/>
        <v>2276749</v>
      </c>
      <c r="AJ185" s="10">
        <f t="shared" si="17"/>
        <v>5100813</v>
      </c>
      <c r="AK185" s="10">
        <f t="shared" si="17"/>
        <v>7845693</v>
      </c>
      <c r="AL185" s="10">
        <f t="shared" si="17"/>
        <v>3479147</v>
      </c>
      <c r="AM185" s="10">
        <f t="shared" si="17"/>
        <v>139389670</v>
      </c>
    </row>
    <row r="186" ht="12.75" hidden="1"/>
    <row r="187" spans="2:3" ht="12.75" hidden="1">
      <c r="B187" s="14">
        <v>801</v>
      </c>
      <c r="C187" s="15">
        <f>SUM(AM32,AM50,AM78,AM80,AM104,AM123,AM135)</f>
        <v>133115848</v>
      </c>
    </row>
    <row r="188" spans="2:3" ht="12.75" hidden="1">
      <c r="B188" s="14">
        <v>851</v>
      </c>
      <c r="C188" s="15">
        <f>SUM(AM138)</f>
        <v>421088</v>
      </c>
    </row>
    <row r="189" spans="2:3" ht="12.75" hidden="1">
      <c r="B189" s="14">
        <v>854</v>
      </c>
      <c r="C189" s="15">
        <f>SUM(AM155,AM159)</f>
        <v>5852734</v>
      </c>
    </row>
    <row r="190" ht="12.75" hidden="1"/>
    <row r="191" ht="12.75" hidden="1"/>
    <row r="192" ht="12.75" hidden="1"/>
    <row r="193" ht="12.75" hidden="1"/>
    <row r="194" ht="12.75" hidden="1"/>
  </sheetData>
  <mergeCells count="1">
    <mergeCell ref="B1:L1"/>
  </mergeCells>
  <printOptions/>
  <pageMargins left="0.61" right="0.59" top="0.52" bottom="0.38" header="0.48" footer="0.18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50"/>
  <sheetViews>
    <sheetView showZeros="0" workbookViewId="0" topLeftCell="A1">
      <pane xSplit="1" ySplit="3" topLeftCell="AC1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34" sqref="A334:IV336"/>
    </sheetView>
  </sheetViews>
  <sheetFormatPr defaultColWidth="9.00390625" defaultRowHeight="12.75"/>
  <cols>
    <col min="1" max="1" width="12.125" style="16" customWidth="1"/>
    <col min="2" max="2" width="8.25390625" style="5" customWidth="1"/>
    <col min="3" max="3" width="8.75390625" style="5" bestFit="1" customWidth="1"/>
    <col min="4" max="4" width="7.875" style="5" customWidth="1"/>
    <col min="5" max="5" width="8.00390625" style="5" customWidth="1"/>
    <col min="6" max="6" width="8.125" style="5" customWidth="1"/>
    <col min="7" max="7" width="8.00390625" style="5" customWidth="1"/>
    <col min="8" max="9" width="8.25390625" style="5" customWidth="1"/>
    <col min="10" max="12" width="8.125" style="5" customWidth="1"/>
    <col min="13" max="13" width="8.375" style="5" customWidth="1"/>
    <col min="14" max="14" width="8.25390625" style="5" customWidth="1"/>
    <col min="15" max="15" width="8.125" style="5" customWidth="1"/>
    <col min="16" max="16" width="7.875" style="5" customWidth="1"/>
    <col min="17" max="17" width="8.125" style="5" customWidth="1"/>
    <col min="18" max="19" width="8.00390625" style="5" customWidth="1"/>
    <col min="20" max="20" width="8.625" style="5" customWidth="1"/>
    <col min="21" max="21" width="8.25390625" style="5" customWidth="1"/>
    <col min="22" max="22" width="8.125" style="5" customWidth="1"/>
    <col min="23" max="23" width="8.625" style="5" customWidth="1"/>
    <col min="24" max="24" width="7.25390625" style="5" customWidth="1"/>
    <col min="25" max="25" width="9.00390625" style="5" customWidth="1"/>
    <col min="26" max="26" width="6.25390625" style="5" customWidth="1"/>
    <col min="27" max="29" width="8.375" style="5" bestFit="1" customWidth="1"/>
    <col min="30" max="30" width="8.625" style="5" customWidth="1"/>
    <col min="31" max="31" width="7.125" style="5" customWidth="1"/>
    <col min="32" max="32" width="8.875" style="5" customWidth="1"/>
    <col min="33" max="16384" width="9.125" style="5" customWidth="1"/>
  </cols>
  <sheetData>
    <row r="1" spans="2:12" ht="15.75">
      <c r="B1" s="79" t="s">
        <v>140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9.75" customHeight="1"/>
    <row r="3" spans="1:49" s="21" customFormat="1" ht="70.5" customHeight="1">
      <c r="A3" s="17"/>
      <c r="B3" s="18" t="s">
        <v>82</v>
      </c>
      <c r="C3" s="18" t="s">
        <v>83</v>
      </c>
      <c r="D3" s="18" t="s">
        <v>84</v>
      </c>
      <c r="E3" s="18" t="s">
        <v>85</v>
      </c>
      <c r="F3" s="18" t="s">
        <v>86</v>
      </c>
      <c r="G3" s="18" t="s">
        <v>87</v>
      </c>
      <c r="H3" s="18" t="s">
        <v>88</v>
      </c>
      <c r="I3" s="18" t="s">
        <v>89</v>
      </c>
      <c r="J3" s="18" t="s">
        <v>90</v>
      </c>
      <c r="K3" s="18" t="s">
        <v>91</v>
      </c>
      <c r="L3" s="18" t="s">
        <v>92</v>
      </c>
      <c r="M3" s="18" t="s">
        <v>93</v>
      </c>
      <c r="N3" s="18" t="s">
        <v>94</v>
      </c>
      <c r="O3" s="18" t="s">
        <v>95</v>
      </c>
      <c r="P3" s="18" t="s">
        <v>96</v>
      </c>
      <c r="Q3" s="18" t="s">
        <v>97</v>
      </c>
      <c r="R3" s="18" t="s">
        <v>98</v>
      </c>
      <c r="S3" s="18" t="s">
        <v>99</v>
      </c>
      <c r="T3" s="18" t="s">
        <v>100</v>
      </c>
      <c r="U3" s="18" t="s">
        <v>101</v>
      </c>
      <c r="V3" s="18" t="s">
        <v>102</v>
      </c>
      <c r="W3" s="18" t="s">
        <v>103</v>
      </c>
      <c r="X3" s="18" t="s">
        <v>104</v>
      </c>
      <c r="Y3" s="18" t="s">
        <v>105</v>
      </c>
      <c r="Z3" s="18" t="s">
        <v>106</v>
      </c>
      <c r="AA3" s="18" t="s">
        <v>107</v>
      </c>
      <c r="AB3" s="18" t="s">
        <v>108</v>
      </c>
      <c r="AC3" s="18" t="s">
        <v>109</v>
      </c>
      <c r="AD3" s="18" t="s">
        <v>110</v>
      </c>
      <c r="AE3" s="18" t="s">
        <v>111</v>
      </c>
      <c r="AF3" s="19" t="s">
        <v>112</v>
      </c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2" s="24" customFormat="1" ht="11.25">
      <c r="A4" s="22" t="s">
        <v>113</v>
      </c>
      <c r="B4" s="23">
        <f aca="true" t="shared" si="0" ref="B4:AF4">B19+B39+B54+B56+B79+B92+B107+B134+B154+B174+B184+B204+B215+B226</f>
        <v>3755686</v>
      </c>
      <c r="C4" s="23">
        <f t="shared" si="0"/>
        <v>6224099</v>
      </c>
      <c r="D4" s="23">
        <f t="shared" si="0"/>
        <v>3705687</v>
      </c>
      <c r="E4" s="23">
        <f t="shared" si="0"/>
        <v>1244278</v>
      </c>
      <c r="F4" s="23">
        <f t="shared" si="0"/>
        <v>3334881</v>
      </c>
      <c r="G4" s="23">
        <f t="shared" si="0"/>
        <v>4257330</v>
      </c>
      <c r="H4" s="23">
        <f t="shared" si="0"/>
        <v>6085032</v>
      </c>
      <c r="I4" s="23">
        <f t="shared" si="0"/>
        <v>3403743</v>
      </c>
      <c r="J4" s="23">
        <f t="shared" si="0"/>
        <v>2624760</v>
      </c>
      <c r="K4" s="23">
        <f t="shared" si="0"/>
        <v>3374958</v>
      </c>
      <c r="L4" s="23">
        <f t="shared" si="0"/>
        <v>2802099</v>
      </c>
      <c r="M4" s="23">
        <f t="shared" si="0"/>
        <v>2786797</v>
      </c>
      <c r="N4" s="23">
        <f t="shared" si="0"/>
        <v>3717605</v>
      </c>
      <c r="O4" s="23">
        <f t="shared" si="0"/>
        <v>2063324</v>
      </c>
      <c r="P4" s="23">
        <f t="shared" si="0"/>
        <v>4540738</v>
      </c>
      <c r="Q4" s="23">
        <f t="shared" si="0"/>
        <v>4298106</v>
      </c>
      <c r="R4" s="23">
        <f t="shared" si="0"/>
        <v>4876000</v>
      </c>
      <c r="S4" s="23">
        <f t="shared" si="0"/>
        <v>2711777</v>
      </c>
      <c r="T4" s="23">
        <f t="shared" si="0"/>
        <v>2947305</v>
      </c>
      <c r="U4" s="23">
        <f t="shared" si="0"/>
        <v>1995021</v>
      </c>
      <c r="V4" s="23">
        <f t="shared" si="0"/>
        <v>2424286</v>
      </c>
      <c r="W4" s="23">
        <f t="shared" si="0"/>
        <v>2922290</v>
      </c>
      <c r="X4" s="23">
        <f t="shared" si="0"/>
        <v>1423670</v>
      </c>
      <c r="Y4" s="23">
        <f t="shared" si="0"/>
        <v>3223598</v>
      </c>
      <c r="Z4" s="23">
        <f t="shared" si="0"/>
        <v>695902</v>
      </c>
      <c r="AA4" s="23">
        <f t="shared" si="0"/>
        <v>0</v>
      </c>
      <c r="AB4" s="23">
        <f t="shared" si="0"/>
        <v>0</v>
      </c>
      <c r="AC4" s="23">
        <f t="shared" si="0"/>
        <v>0</v>
      </c>
      <c r="AD4" s="23">
        <f t="shared" si="0"/>
        <v>0</v>
      </c>
      <c r="AE4" s="23">
        <f t="shared" si="0"/>
        <v>0</v>
      </c>
      <c r="AF4" s="23">
        <f t="shared" si="0"/>
        <v>81438972</v>
      </c>
    </row>
    <row r="5" spans="1:32" ht="11.25">
      <c r="A5" s="9" t="s">
        <v>40</v>
      </c>
      <c r="B5" s="9">
        <v>849</v>
      </c>
      <c r="C5" s="9">
        <v>5669</v>
      </c>
      <c r="D5" s="9">
        <v>2979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>
        <f aca="true" t="shared" si="1" ref="AF5:AF18">SUM(B5:AE5)</f>
        <v>9497</v>
      </c>
    </row>
    <row r="6" spans="1:32" ht="11.25">
      <c r="A6" s="9" t="s">
        <v>41</v>
      </c>
      <c r="B6" s="9">
        <v>371059</v>
      </c>
      <c r="C6" s="9">
        <v>1778569</v>
      </c>
      <c r="D6" s="9">
        <v>1507637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0">
        <f t="shared" si="1"/>
        <v>3657265</v>
      </c>
    </row>
    <row r="7" spans="1:32" ht="11.25">
      <c r="A7" s="9" t="s">
        <v>42</v>
      </c>
      <c r="B7" s="9">
        <v>31327</v>
      </c>
      <c r="C7" s="9">
        <v>126194</v>
      </c>
      <c r="D7" s="9">
        <v>134031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>
        <f t="shared" si="1"/>
        <v>291552</v>
      </c>
    </row>
    <row r="8" spans="1:32" ht="11.25">
      <c r="A8" s="9" t="s">
        <v>43</v>
      </c>
      <c r="B8" s="9">
        <v>61562</v>
      </c>
      <c r="C8" s="9">
        <v>291543</v>
      </c>
      <c r="D8" s="9">
        <v>251343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>
        <f t="shared" si="1"/>
        <v>604448</v>
      </c>
    </row>
    <row r="9" spans="1:32" ht="11.25">
      <c r="A9" s="9" t="s">
        <v>44</v>
      </c>
      <c r="B9" s="9">
        <v>9794</v>
      </c>
      <c r="C9" s="9">
        <v>46382</v>
      </c>
      <c r="D9" s="9">
        <v>39986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>
        <f t="shared" si="1"/>
        <v>96162</v>
      </c>
    </row>
    <row r="10" spans="1:32" ht="11.25">
      <c r="A10" s="9" t="s">
        <v>47</v>
      </c>
      <c r="B10" s="9">
        <v>17319</v>
      </c>
      <c r="C10" s="9">
        <v>6000</v>
      </c>
      <c r="D10" s="9">
        <v>6740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>
        <f t="shared" si="1"/>
        <v>30059</v>
      </c>
    </row>
    <row r="11" spans="1:32" ht="11.25">
      <c r="A11" s="9" t="s">
        <v>49</v>
      </c>
      <c r="B11" s="9">
        <v>756</v>
      </c>
      <c r="C11" s="9"/>
      <c r="D11" s="9">
        <v>2500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>
        <f t="shared" si="1"/>
        <v>3256</v>
      </c>
    </row>
    <row r="12" spans="1:32" ht="11.25">
      <c r="A12" s="9" t="s">
        <v>50</v>
      </c>
      <c r="B12" s="9">
        <v>3654</v>
      </c>
      <c r="C12" s="9">
        <v>53500</v>
      </c>
      <c r="D12" s="9">
        <v>25589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0">
        <f t="shared" si="1"/>
        <v>82743</v>
      </c>
    </row>
    <row r="13" spans="1:32" ht="11.25">
      <c r="A13" s="9" t="s">
        <v>51</v>
      </c>
      <c r="B13" s="9"/>
      <c r="C13" s="9">
        <v>385000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">
        <f t="shared" si="1"/>
        <v>385000</v>
      </c>
    </row>
    <row r="14" spans="1:32" ht="11.25">
      <c r="A14" s="9" t="s">
        <v>53</v>
      </c>
      <c r="B14" s="9">
        <v>700</v>
      </c>
      <c r="C14" s="9">
        <v>5400</v>
      </c>
      <c r="D14" s="9">
        <v>3180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0"/>
      <c r="Y14" s="10"/>
      <c r="Z14" s="10"/>
      <c r="AA14" s="9"/>
      <c r="AB14" s="9"/>
      <c r="AC14" s="9"/>
      <c r="AD14" s="9"/>
      <c r="AE14" s="9"/>
      <c r="AF14" s="10">
        <f t="shared" si="1"/>
        <v>9280</v>
      </c>
    </row>
    <row r="15" spans="1:32" ht="11.25">
      <c r="A15" s="9" t="s">
        <v>55</v>
      </c>
      <c r="B15" s="9"/>
      <c r="C15" s="9">
        <v>1000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10"/>
      <c r="Y15" s="10"/>
      <c r="Z15" s="10"/>
      <c r="AA15" s="9"/>
      <c r="AB15" s="9"/>
      <c r="AC15" s="9"/>
      <c r="AD15" s="9"/>
      <c r="AE15" s="9"/>
      <c r="AF15" s="10">
        <f t="shared" si="1"/>
        <v>1000</v>
      </c>
    </row>
    <row r="16" spans="1:32" ht="11.25">
      <c r="A16" s="9" t="s">
        <v>57</v>
      </c>
      <c r="B16" s="9"/>
      <c r="C16" s="9">
        <v>7300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>
        <f t="shared" si="1"/>
        <v>7300</v>
      </c>
    </row>
    <row r="17" spans="1:32" ht="11.25">
      <c r="A17" s="9" t="s">
        <v>60</v>
      </c>
      <c r="B17" s="9"/>
      <c r="C17" s="9">
        <v>1000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>
        <f t="shared" si="1"/>
        <v>1000</v>
      </c>
    </row>
    <row r="18" spans="1:32" ht="11.25">
      <c r="A18" s="9" t="s">
        <v>61</v>
      </c>
      <c r="B18" s="9">
        <v>21567</v>
      </c>
      <c r="C18" s="9">
        <v>95860</v>
      </c>
      <c r="D18" s="9">
        <v>85113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>
        <f t="shared" si="1"/>
        <v>202540</v>
      </c>
    </row>
    <row r="19" spans="1:32" s="26" customFormat="1" ht="10.5">
      <c r="A19" s="25" t="s">
        <v>114</v>
      </c>
      <c r="B19" s="25">
        <f aca="true" t="shared" si="2" ref="B19:AF19">SUM(B5:B18)</f>
        <v>518587</v>
      </c>
      <c r="C19" s="25">
        <f t="shared" si="2"/>
        <v>2803417</v>
      </c>
      <c r="D19" s="25">
        <f t="shared" si="2"/>
        <v>2059098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 t="shared" si="2"/>
        <v>5381102</v>
      </c>
    </row>
    <row r="20" spans="1:32" s="24" customFormat="1" ht="11.25">
      <c r="A20" s="9" t="s">
        <v>40</v>
      </c>
      <c r="B20" s="9">
        <v>5411</v>
      </c>
      <c r="C20" s="9"/>
      <c r="D20" s="9"/>
      <c r="E20" s="9"/>
      <c r="F20" s="9"/>
      <c r="G20" s="9">
        <v>1929</v>
      </c>
      <c r="H20" s="9">
        <v>5795</v>
      </c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9">
        <v>862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>
        <f aca="true" t="shared" si="3" ref="AF20:AF38">SUM(B20:AE20)</f>
        <v>13997</v>
      </c>
    </row>
    <row r="21" spans="1:32" s="24" customFormat="1" ht="11.25">
      <c r="A21" s="9" t="s">
        <v>41</v>
      </c>
      <c r="B21" s="9">
        <v>1498724</v>
      </c>
      <c r="C21" s="9"/>
      <c r="D21" s="9"/>
      <c r="E21" s="9"/>
      <c r="F21" s="9"/>
      <c r="G21" s="9">
        <v>658437</v>
      </c>
      <c r="H21" s="9">
        <v>1035246</v>
      </c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9">
        <v>273300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>
        <f t="shared" si="3"/>
        <v>3465707</v>
      </c>
    </row>
    <row r="22" spans="1:32" s="24" customFormat="1" ht="11.25">
      <c r="A22" s="9" t="s">
        <v>42</v>
      </c>
      <c r="B22" s="9">
        <v>127232</v>
      </c>
      <c r="C22" s="9"/>
      <c r="D22" s="9"/>
      <c r="E22" s="9"/>
      <c r="F22" s="9"/>
      <c r="G22" s="9">
        <v>50184</v>
      </c>
      <c r="H22" s="9">
        <v>80947</v>
      </c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9">
        <v>16596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>
        <f t="shared" si="3"/>
        <v>274959</v>
      </c>
    </row>
    <row r="23" spans="1:32" s="24" customFormat="1" ht="11.25">
      <c r="A23" s="9" t="s">
        <v>43</v>
      </c>
      <c r="B23" s="9">
        <v>252707</v>
      </c>
      <c r="C23" s="9"/>
      <c r="D23" s="9"/>
      <c r="E23" s="9"/>
      <c r="F23" s="9"/>
      <c r="G23" s="9">
        <v>110754</v>
      </c>
      <c r="H23" s="9">
        <v>171894</v>
      </c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9">
        <v>45303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>
        <f t="shared" si="3"/>
        <v>580658</v>
      </c>
    </row>
    <row r="24" spans="1:32" s="24" customFormat="1" ht="11.25">
      <c r="A24" s="9" t="s">
        <v>44</v>
      </c>
      <c r="B24" s="9">
        <v>40203</v>
      </c>
      <c r="C24" s="9"/>
      <c r="D24" s="9"/>
      <c r="E24" s="9"/>
      <c r="F24" s="9"/>
      <c r="G24" s="9">
        <v>17620</v>
      </c>
      <c r="H24" s="9">
        <v>27347</v>
      </c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9">
        <v>7207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>
        <f t="shared" si="3"/>
        <v>92377</v>
      </c>
    </row>
    <row r="25" spans="1:32" s="24" customFormat="1" ht="11.25">
      <c r="A25" s="9" t="s">
        <v>47</v>
      </c>
      <c r="B25" s="9">
        <f>64708+3000</f>
        <v>67708</v>
      </c>
      <c r="C25" s="9"/>
      <c r="D25" s="9"/>
      <c r="E25" s="9"/>
      <c r="F25" s="9"/>
      <c r="G25" s="9">
        <v>9660</v>
      </c>
      <c r="H25" s="9"/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9">
        <v>8500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>
        <f t="shared" si="3"/>
        <v>85868</v>
      </c>
    </row>
    <row r="26" spans="1:32" s="24" customFormat="1" ht="11.25">
      <c r="A26" s="9" t="s">
        <v>49</v>
      </c>
      <c r="B26" s="9">
        <v>2452</v>
      </c>
      <c r="C26" s="9"/>
      <c r="D26" s="9"/>
      <c r="E26" s="9"/>
      <c r="F26" s="9"/>
      <c r="G26" s="9"/>
      <c r="H26" s="9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9">
        <v>3000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>
        <f t="shared" si="3"/>
        <v>5452</v>
      </c>
    </row>
    <row r="27" spans="1:32" s="24" customFormat="1" ht="11.25">
      <c r="A27" s="9" t="s">
        <v>50</v>
      </c>
      <c r="B27" s="9">
        <v>21870</v>
      </c>
      <c r="C27" s="9"/>
      <c r="D27" s="9"/>
      <c r="E27" s="9"/>
      <c r="F27" s="9"/>
      <c r="G27" s="9">
        <v>15756</v>
      </c>
      <c r="H27" s="9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9">
        <v>1348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>
        <f t="shared" si="3"/>
        <v>38974</v>
      </c>
    </row>
    <row r="28" spans="1:32" s="24" customFormat="1" ht="11.25">
      <c r="A28" s="9" t="s">
        <v>51</v>
      </c>
      <c r="B28" s="9"/>
      <c r="C28" s="9"/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9">
        <v>6000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>
        <f t="shared" si="3"/>
        <v>6000</v>
      </c>
    </row>
    <row r="29" spans="1:32" s="24" customFormat="1" ht="11.25">
      <c r="A29" s="9" t="s">
        <v>52</v>
      </c>
      <c r="B29" s="9">
        <v>2500</v>
      </c>
      <c r="C29" s="9"/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9">
        <v>500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>
        <f t="shared" si="3"/>
        <v>3000</v>
      </c>
    </row>
    <row r="30" spans="1:32" s="24" customFormat="1" ht="11.25">
      <c r="A30" s="9" t="s">
        <v>53</v>
      </c>
      <c r="B30" s="9">
        <v>20000</v>
      </c>
      <c r="C30" s="9"/>
      <c r="D30" s="9"/>
      <c r="E30" s="9"/>
      <c r="F30" s="9"/>
      <c r="G30" s="9">
        <v>10000</v>
      </c>
      <c r="H30" s="9">
        <v>18000</v>
      </c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9">
        <v>2850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>
        <f t="shared" si="3"/>
        <v>50850</v>
      </c>
    </row>
    <row r="31" spans="1:32" s="24" customFormat="1" ht="11.25">
      <c r="A31" s="9" t="s">
        <v>55</v>
      </c>
      <c r="B31" s="9">
        <v>348</v>
      </c>
      <c r="C31" s="9"/>
      <c r="D31" s="9"/>
      <c r="E31" s="9"/>
      <c r="F31" s="9"/>
      <c r="G31" s="9"/>
      <c r="H31" s="9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9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>
        <f t="shared" si="3"/>
        <v>348</v>
      </c>
    </row>
    <row r="32" spans="1:32" s="24" customFormat="1" ht="11.25">
      <c r="A32" s="9" t="s">
        <v>57</v>
      </c>
      <c r="B32" s="9">
        <v>5000</v>
      </c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9">
        <v>2000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>
        <f t="shared" si="3"/>
        <v>7000</v>
      </c>
    </row>
    <row r="33" spans="1:32" s="24" customFormat="1" ht="11.25">
      <c r="A33" s="9" t="s">
        <v>58</v>
      </c>
      <c r="B33" s="9">
        <v>1000</v>
      </c>
      <c r="C33" s="9"/>
      <c r="D33" s="9"/>
      <c r="E33" s="9"/>
      <c r="F33" s="9"/>
      <c r="G33" s="9"/>
      <c r="H33" s="9"/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>
        <f t="shared" si="3"/>
        <v>1000</v>
      </c>
    </row>
    <row r="34" spans="1:32" s="24" customFormat="1" ht="11.25">
      <c r="A34" s="9" t="s">
        <v>60</v>
      </c>
      <c r="B34" s="9">
        <v>3600</v>
      </c>
      <c r="C34" s="9"/>
      <c r="D34" s="9"/>
      <c r="E34" s="9"/>
      <c r="F34" s="9"/>
      <c r="G34" s="9"/>
      <c r="H34" s="9">
        <v>3840</v>
      </c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9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>
        <f t="shared" si="3"/>
        <v>7440</v>
      </c>
    </row>
    <row r="35" spans="1:32" s="24" customFormat="1" ht="11.25">
      <c r="A35" s="9" t="s">
        <v>61</v>
      </c>
      <c r="B35" s="9">
        <v>89105</v>
      </c>
      <c r="C35" s="9"/>
      <c r="D35" s="9"/>
      <c r="E35" s="9"/>
      <c r="F35" s="9"/>
      <c r="G35" s="9">
        <v>45186</v>
      </c>
      <c r="H35" s="9">
        <v>66608</v>
      </c>
      <c r="I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9">
        <v>20567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>
        <f t="shared" si="3"/>
        <v>221466</v>
      </c>
    </row>
    <row r="36" spans="1:32" s="24" customFormat="1" ht="11.25">
      <c r="A36" s="9" t="s">
        <v>62</v>
      </c>
      <c r="B36" s="9">
        <v>2000</v>
      </c>
      <c r="C36" s="9"/>
      <c r="D36" s="9"/>
      <c r="E36" s="9"/>
      <c r="F36" s="9"/>
      <c r="G36" s="9"/>
      <c r="H36" s="9"/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>
        <v>500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>
        <f t="shared" si="3"/>
        <v>2500</v>
      </c>
    </row>
    <row r="37" spans="1:32" s="24" customFormat="1" ht="11.25">
      <c r="A37" s="9" t="s">
        <v>63</v>
      </c>
      <c r="B37" s="9">
        <v>2000</v>
      </c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9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>
        <f t="shared" si="3"/>
        <v>2000</v>
      </c>
    </row>
    <row r="38" spans="1:32" s="24" customFormat="1" ht="11.25">
      <c r="A38" s="9" t="s">
        <v>64</v>
      </c>
      <c r="B38" s="9">
        <v>3500</v>
      </c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9">
        <v>548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>
        <f t="shared" si="3"/>
        <v>4048</v>
      </c>
    </row>
    <row r="39" spans="1:32" s="26" customFormat="1" ht="10.5">
      <c r="A39" s="25" t="s">
        <v>115</v>
      </c>
      <c r="B39" s="25">
        <f aca="true" t="shared" si="4" ref="B39:AF39">SUM(B20:B38)</f>
        <v>2145360</v>
      </c>
      <c r="C39" s="25">
        <f t="shared" si="4"/>
        <v>0</v>
      </c>
      <c r="D39" s="25">
        <f t="shared" si="4"/>
        <v>0</v>
      </c>
      <c r="E39" s="25">
        <f t="shared" si="4"/>
        <v>0</v>
      </c>
      <c r="F39" s="25">
        <f t="shared" si="4"/>
        <v>0</v>
      </c>
      <c r="G39" s="25">
        <f t="shared" si="4"/>
        <v>919526</v>
      </c>
      <c r="H39" s="25">
        <f t="shared" si="4"/>
        <v>1409677</v>
      </c>
      <c r="I39" s="25">
        <f t="shared" si="4"/>
        <v>0</v>
      </c>
      <c r="J39" s="25">
        <f t="shared" si="4"/>
        <v>0</v>
      </c>
      <c r="K39" s="25">
        <f t="shared" si="4"/>
        <v>0</v>
      </c>
      <c r="L39" s="25">
        <f t="shared" si="4"/>
        <v>0</v>
      </c>
      <c r="M39" s="25">
        <f t="shared" si="4"/>
        <v>0</v>
      </c>
      <c r="N39" s="25">
        <f t="shared" si="4"/>
        <v>0</v>
      </c>
      <c r="O39" s="25">
        <f t="shared" si="4"/>
        <v>0</v>
      </c>
      <c r="P39" s="25">
        <f t="shared" si="4"/>
        <v>0</v>
      </c>
      <c r="Q39" s="25">
        <f t="shared" si="4"/>
        <v>0</v>
      </c>
      <c r="R39" s="25">
        <f t="shared" si="4"/>
        <v>0</v>
      </c>
      <c r="S39" s="25">
        <f t="shared" si="4"/>
        <v>0</v>
      </c>
      <c r="T39" s="25">
        <f t="shared" si="4"/>
        <v>0</v>
      </c>
      <c r="U39" s="25">
        <f t="shared" si="4"/>
        <v>389081</v>
      </c>
      <c r="V39" s="25">
        <f t="shared" si="4"/>
        <v>0</v>
      </c>
      <c r="W39" s="25">
        <f t="shared" si="4"/>
        <v>0</v>
      </c>
      <c r="X39" s="25">
        <f t="shared" si="4"/>
        <v>0</v>
      </c>
      <c r="Y39" s="25">
        <f t="shared" si="4"/>
        <v>0</v>
      </c>
      <c r="Z39" s="25">
        <f t="shared" si="4"/>
        <v>0</v>
      </c>
      <c r="AA39" s="25">
        <f t="shared" si="4"/>
        <v>0</v>
      </c>
      <c r="AB39" s="25">
        <f t="shared" si="4"/>
        <v>0</v>
      </c>
      <c r="AC39" s="25">
        <f t="shared" si="4"/>
        <v>0</v>
      </c>
      <c r="AD39" s="25">
        <f t="shared" si="4"/>
        <v>0</v>
      </c>
      <c r="AE39" s="25">
        <f t="shared" si="4"/>
        <v>0</v>
      </c>
      <c r="AF39" s="25">
        <f t="shared" si="4"/>
        <v>4863644</v>
      </c>
    </row>
    <row r="40" spans="1:32" ht="11.25">
      <c r="A40" s="9" t="s">
        <v>40</v>
      </c>
      <c r="B40" s="9">
        <v>705</v>
      </c>
      <c r="C40" s="9">
        <v>2596</v>
      </c>
      <c r="D40" s="9">
        <v>1003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0">
        <f aca="true" t="shared" si="5" ref="AF40:AF53">SUM(B40:AE40)</f>
        <v>4304</v>
      </c>
    </row>
    <row r="41" spans="1:32" ht="11.25">
      <c r="A41" s="9" t="s">
        <v>41</v>
      </c>
      <c r="B41" s="9">
        <v>398159</v>
      </c>
      <c r="C41" s="9">
        <v>1363659</v>
      </c>
      <c r="D41" s="9">
        <v>453649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0">
        <f t="shared" si="5"/>
        <v>2215467</v>
      </c>
    </row>
    <row r="42" spans="1:32" ht="11.25">
      <c r="A42" s="9" t="s">
        <v>42</v>
      </c>
      <c r="B42" s="9">
        <v>30871</v>
      </c>
      <c r="C42" s="9">
        <v>111500</v>
      </c>
      <c r="D42" s="9">
        <v>43648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0">
        <f t="shared" si="5"/>
        <v>186019</v>
      </c>
    </row>
    <row r="43" spans="1:32" ht="11.25">
      <c r="A43" s="9" t="s">
        <v>43</v>
      </c>
      <c r="B43" s="9">
        <v>65634</v>
      </c>
      <c r="C43" s="9">
        <v>225735</v>
      </c>
      <c r="D43" s="9">
        <v>76127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0">
        <f t="shared" si="5"/>
        <v>367496</v>
      </c>
    </row>
    <row r="44" spans="1:32" ht="11.25">
      <c r="A44" s="9" t="s">
        <v>44</v>
      </c>
      <c r="B44" s="9">
        <v>10442</v>
      </c>
      <c r="C44" s="9">
        <v>35912</v>
      </c>
      <c r="D44" s="9">
        <v>12111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10">
        <f t="shared" si="5"/>
        <v>58465</v>
      </c>
    </row>
    <row r="45" spans="1:32" ht="11.25">
      <c r="A45" s="9" t="s">
        <v>47</v>
      </c>
      <c r="B45" s="9">
        <v>8716</v>
      </c>
      <c r="C45" s="9">
        <v>1400</v>
      </c>
      <c r="D45" s="9">
        <v>2000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10">
        <f t="shared" si="5"/>
        <v>12116</v>
      </c>
    </row>
    <row r="46" spans="1:32" ht="11.25">
      <c r="A46" s="9" t="s">
        <v>49</v>
      </c>
      <c r="B46" s="9">
        <v>748</v>
      </c>
      <c r="C46" s="9">
        <v>0</v>
      </c>
      <c r="D46" s="9">
        <v>300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10">
        <f t="shared" si="5"/>
        <v>1048</v>
      </c>
    </row>
    <row r="47" spans="1:32" ht="11.25">
      <c r="A47" s="9" t="s">
        <v>50</v>
      </c>
      <c r="B47" s="9">
        <v>1473</v>
      </c>
      <c r="C47" s="9">
        <v>35350</v>
      </c>
      <c r="D47" s="9">
        <v>577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0">
        <f t="shared" si="5"/>
        <v>37400</v>
      </c>
    </row>
    <row r="48" spans="1:32" ht="11.25">
      <c r="A48" s="9" t="s">
        <v>51</v>
      </c>
      <c r="B48" s="9">
        <v>0</v>
      </c>
      <c r="C48" s="9">
        <v>3492</v>
      </c>
      <c r="D48" s="9"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0">
        <f t="shared" si="5"/>
        <v>3492</v>
      </c>
    </row>
    <row r="49" spans="1:32" ht="11.25">
      <c r="A49" s="9" t="s">
        <v>52</v>
      </c>
      <c r="B49" s="9">
        <v>0</v>
      </c>
      <c r="C49" s="9">
        <v>5000</v>
      </c>
      <c r="D49" s="9"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>
        <f t="shared" si="5"/>
        <v>5000</v>
      </c>
    </row>
    <row r="50" spans="1:32" ht="11.25">
      <c r="A50" s="9" t="s">
        <v>53</v>
      </c>
      <c r="B50" s="9">
        <v>700</v>
      </c>
      <c r="C50" s="9">
        <v>2588</v>
      </c>
      <c r="D50" s="9">
        <v>1480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>
        <f t="shared" si="5"/>
        <v>4768</v>
      </c>
    </row>
    <row r="51" spans="1:32" ht="11.25">
      <c r="A51" s="9" t="s">
        <v>58</v>
      </c>
      <c r="B51" s="9">
        <v>0</v>
      </c>
      <c r="C51" s="9">
        <v>1000</v>
      </c>
      <c r="D51" s="9"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0">
        <f t="shared" si="5"/>
        <v>1000</v>
      </c>
    </row>
    <row r="52" spans="1:32" ht="11.25">
      <c r="A52" s="9" t="s">
        <v>61</v>
      </c>
      <c r="B52" s="9">
        <v>17398</v>
      </c>
      <c r="C52" s="9">
        <v>64440</v>
      </c>
      <c r="D52" s="9">
        <v>27481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>
        <f t="shared" si="5"/>
        <v>109319</v>
      </c>
    </row>
    <row r="53" spans="1:32" ht="11.25">
      <c r="A53" s="9" t="s">
        <v>63</v>
      </c>
      <c r="B53" s="9">
        <v>0</v>
      </c>
      <c r="C53" s="9">
        <v>1200</v>
      </c>
      <c r="D53" s="9"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10">
        <f t="shared" si="5"/>
        <v>1200</v>
      </c>
    </row>
    <row r="54" spans="1:32" s="27" customFormat="1" ht="11.25">
      <c r="A54" s="25" t="s">
        <v>116</v>
      </c>
      <c r="B54" s="25">
        <f aca="true" t="shared" si="6" ref="B54:AF54">SUM(B40:B53)</f>
        <v>534846</v>
      </c>
      <c r="C54" s="25">
        <f t="shared" si="6"/>
        <v>1853872</v>
      </c>
      <c r="D54" s="25">
        <f t="shared" si="6"/>
        <v>618376</v>
      </c>
      <c r="E54" s="25">
        <f t="shared" si="6"/>
        <v>0</v>
      </c>
      <c r="F54" s="25">
        <f t="shared" si="6"/>
        <v>0</v>
      </c>
      <c r="G54" s="25">
        <f t="shared" si="6"/>
        <v>0</v>
      </c>
      <c r="H54" s="25">
        <f t="shared" si="6"/>
        <v>0</v>
      </c>
      <c r="I54" s="25">
        <f t="shared" si="6"/>
        <v>0</v>
      </c>
      <c r="J54" s="25">
        <f t="shared" si="6"/>
        <v>0</v>
      </c>
      <c r="K54" s="25">
        <f t="shared" si="6"/>
        <v>0</v>
      </c>
      <c r="L54" s="25">
        <f t="shared" si="6"/>
        <v>0</v>
      </c>
      <c r="M54" s="25">
        <f t="shared" si="6"/>
        <v>0</v>
      </c>
      <c r="N54" s="25">
        <f t="shared" si="6"/>
        <v>0</v>
      </c>
      <c r="O54" s="25">
        <f t="shared" si="6"/>
        <v>0</v>
      </c>
      <c r="P54" s="25">
        <f t="shared" si="6"/>
        <v>0</v>
      </c>
      <c r="Q54" s="25">
        <f t="shared" si="6"/>
        <v>0</v>
      </c>
      <c r="R54" s="25">
        <f t="shared" si="6"/>
        <v>0</v>
      </c>
      <c r="S54" s="25">
        <f t="shared" si="6"/>
        <v>0</v>
      </c>
      <c r="T54" s="25">
        <f t="shared" si="6"/>
        <v>0</v>
      </c>
      <c r="U54" s="25">
        <f t="shared" si="6"/>
        <v>0</v>
      </c>
      <c r="V54" s="25">
        <f t="shared" si="6"/>
        <v>0</v>
      </c>
      <c r="W54" s="25">
        <f t="shared" si="6"/>
        <v>0</v>
      </c>
      <c r="X54" s="25">
        <f t="shared" si="6"/>
        <v>0</v>
      </c>
      <c r="Y54" s="25">
        <f t="shared" si="6"/>
        <v>0</v>
      </c>
      <c r="Z54" s="25">
        <f t="shared" si="6"/>
        <v>0</v>
      </c>
      <c r="AA54" s="25">
        <f t="shared" si="6"/>
        <v>0</v>
      </c>
      <c r="AB54" s="25">
        <f t="shared" si="6"/>
        <v>0</v>
      </c>
      <c r="AC54" s="25">
        <f t="shared" si="6"/>
        <v>0</v>
      </c>
      <c r="AD54" s="25">
        <f t="shared" si="6"/>
        <v>0</v>
      </c>
      <c r="AE54" s="25">
        <f t="shared" si="6"/>
        <v>0</v>
      </c>
      <c r="AF54" s="25">
        <f t="shared" si="6"/>
        <v>3007094</v>
      </c>
    </row>
    <row r="55" spans="1:32" ht="11.25">
      <c r="A55" s="9" t="s">
        <v>53</v>
      </c>
      <c r="B55" s="9">
        <v>35800</v>
      </c>
      <c r="C55" s="9">
        <v>22000</v>
      </c>
      <c r="D55" s="9">
        <v>25800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10">
        <f>SUM(B55:AE55)</f>
        <v>83600</v>
      </c>
    </row>
    <row r="56" spans="1:32" s="27" customFormat="1" ht="11.25">
      <c r="A56" s="25" t="s">
        <v>117</v>
      </c>
      <c r="B56" s="25">
        <f aca="true" t="shared" si="7" ref="B56:AF56">B55</f>
        <v>35800</v>
      </c>
      <c r="C56" s="25">
        <f t="shared" si="7"/>
        <v>22000</v>
      </c>
      <c r="D56" s="25">
        <f t="shared" si="7"/>
        <v>25800</v>
      </c>
      <c r="E56" s="25">
        <f t="shared" si="7"/>
        <v>0</v>
      </c>
      <c r="F56" s="25">
        <f t="shared" si="7"/>
        <v>0</v>
      </c>
      <c r="G56" s="25">
        <f t="shared" si="7"/>
        <v>0</v>
      </c>
      <c r="H56" s="25">
        <f t="shared" si="7"/>
        <v>0</v>
      </c>
      <c r="I56" s="25">
        <f t="shared" si="7"/>
        <v>0</v>
      </c>
      <c r="J56" s="25">
        <f t="shared" si="7"/>
        <v>0</v>
      </c>
      <c r="K56" s="25">
        <f t="shared" si="7"/>
        <v>0</v>
      </c>
      <c r="L56" s="25">
        <f t="shared" si="7"/>
        <v>0</v>
      </c>
      <c r="M56" s="25">
        <f t="shared" si="7"/>
        <v>0</v>
      </c>
      <c r="N56" s="25">
        <f t="shared" si="7"/>
        <v>0</v>
      </c>
      <c r="O56" s="25">
        <f t="shared" si="7"/>
        <v>0</v>
      </c>
      <c r="P56" s="25">
        <f t="shared" si="7"/>
        <v>0</v>
      </c>
      <c r="Q56" s="25">
        <f t="shared" si="7"/>
        <v>0</v>
      </c>
      <c r="R56" s="25">
        <f t="shared" si="7"/>
        <v>0</v>
      </c>
      <c r="S56" s="25">
        <f t="shared" si="7"/>
        <v>0</v>
      </c>
      <c r="T56" s="25">
        <f t="shared" si="7"/>
        <v>0</v>
      </c>
      <c r="U56" s="25">
        <f t="shared" si="7"/>
        <v>0</v>
      </c>
      <c r="V56" s="25">
        <f t="shared" si="7"/>
        <v>0</v>
      </c>
      <c r="W56" s="25">
        <f t="shared" si="7"/>
        <v>0</v>
      </c>
      <c r="X56" s="25">
        <f t="shared" si="7"/>
        <v>0</v>
      </c>
      <c r="Y56" s="25">
        <f t="shared" si="7"/>
        <v>0</v>
      </c>
      <c r="Z56" s="25">
        <f t="shared" si="7"/>
        <v>0</v>
      </c>
      <c r="AA56" s="25">
        <f t="shared" si="7"/>
        <v>0</v>
      </c>
      <c r="AB56" s="25">
        <f t="shared" si="7"/>
        <v>0</v>
      </c>
      <c r="AC56" s="25">
        <f t="shared" si="7"/>
        <v>0</v>
      </c>
      <c r="AD56" s="25">
        <f t="shared" si="7"/>
        <v>0</v>
      </c>
      <c r="AE56" s="25">
        <f t="shared" si="7"/>
        <v>0</v>
      </c>
      <c r="AF56" s="25">
        <f t="shared" si="7"/>
        <v>83600</v>
      </c>
    </row>
    <row r="57" spans="1:32" ht="11.25">
      <c r="A57" s="9" t="s">
        <v>40</v>
      </c>
      <c r="B57" s="9"/>
      <c r="C57" s="9"/>
      <c r="D57" s="9"/>
      <c r="E57" s="9"/>
      <c r="F57" s="9">
        <v>6426</v>
      </c>
      <c r="G57" s="9">
        <v>8397</v>
      </c>
      <c r="H57" s="9">
        <f>5100+7187</f>
        <v>12287</v>
      </c>
      <c r="I57" s="9">
        <f>1500+4847</f>
        <v>6347</v>
      </c>
      <c r="J57" s="9">
        <v>7135</v>
      </c>
      <c r="K57" s="9">
        <v>8720</v>
      </c>
      <c r="L57" s="9">
        <v>6527</v>
      </c>
      <c r="M57" s="9">
        <v>5148</v>
      </c>
      <c r="N57" s="9"/>
      <c r="O57" s="9"/>
      <c r="P57" s="9"/>
      <c r="Q57" s="9"/>
      <c r="R57" s="9">
        <v>3371</v>
      </c>
      <c r="S57" s="9"/>
      <c r="T57" s="9"/>
      <c r="U57" s="9"/>
      <c r="V57" s="9"/>
      <c r="W57" s="9"/>
      <c r="X57" s="9">
        <v>1093</v>
      </c>
      <c r="Y57" s="9"/>
      <c r="Z57" s="9"/>
      <c r="AA57" s="9"/>
      <c r="AB57" s="9"/>
      <c r="AC57" s="9"/>
      <c r="AD57" s="9"/>
      <c r="AE57" s="9"/>
      <c r="AF57" s="10">
        <f aca="true" t="shared" si="8" ref="AF57:AF78">SUM(B57:AE57)</f>
        <v>65451</v>
      </c>
    </row>
    <row r="58" spans="1:32" ht="11.25">
      <c r="A58" s="9" t="s">
        <v>41</v>
      </c>
      <c r="B58" s="9"/>
      <c r="C58" s="9"/>
      <c r="D58" s="9"/>
      <c r="E58" s="9"/>
      <c r="F58" s="9">
        <v>2127492</v>
      </c>
      <c r="G58" s="9">
        <v>2232740</v>
      </c>
      <c r="H58" s="9">
        <v>3202385</v>
      </c>
      <c r="I58" s="9">
        <v>2196658</v>
      </c>
      <c r="J58" s="9">
        <v>1846001</v>
      </c>
      <c r="K58" s="9">
        <v>2342118</v>
      </c>
      <c r="L58" s="9">
        <v>1887672</v>
      </c>
      <c r="M58" s="9">
        <v>1782793</v>
      </c>
      <c r="N58" s="9"/>
      <c r="O58" s="9"/>
      <c r="P58" s="9"/>
      <c r="Q58" s="9"/>
      <c r="R58" s="9">
        <v>1237206</v>
      </c>
      <c r="S58" s="9"/>
      <c r="T58" s="9"/>
      <c r="U58" s="9"/>
      <c r="V58" s="9"/>
      <c r="W58" s="9"/>
      <c r="X58" s="9">
        <v>528271</v>
      </c>
      <c r="Y58" s="9"/>
      <c r="Z58" s="9"/>
      <c r="AA58" s="9"/>
      <c r="AB58" s="9"/>
      <c r="AC58" s="9"/>
      <c r="AD58" s="9"/>
      <c r="AE58" s="9"/>
      <c r="AF58" s="10">
        <f t="shared" si="8"/>
        <v>19383336</v>
      </c>
    </row>
    <row r="59" spans="1:32" ht="11.25">
      <c r="A59" s="9" t="s">
        <v>42</v>
      </c>
      <c r="B59" s="9"/>
      <c r="C59" s="9"/>
      <c r="D59" s="9"/>
      <c r="E59" s="9"/>
      <c r="F59" s="9">
        <v>191240</v>
      </c>
      <c r="G59" s="9">
        <v>176746</v>
      </c>
      <c r="H59" s="9">
        <v>246029</v>
      </c>
      <c r="I59" s="9">
        <v>159690</v>
      </c>
      <c r="J59" s="9">
        <v>152439</v>
      </c>
      <c r="K59" s="9">
        <v>182242</v>
      </c>
      <c r="L59" s="9">
        <v>161578</v>
      </c>
      <c r="M59" s="9">
        <v>132448</v>
      </c>
      <c r="N59" s="9"/>
      <c r="O59" s="9"/>
      <c r="P59" s="9"/>
      <c r="Q59" s="9"/>
      <c r="R59" s="9">
        <v>96950</v>
      </c>
      <c r="S59" s="9"/>
      <c r="T59" s="9"/>
      <c r="U59" s="9"/>
      <c r="V59" s="9"/>
      <c r="W59" s="9"/>
      <c r="X59" s="9">
        <v>42511</v>
      </c>
      <c r="Y59" s="9"/>
      <c r="Z59" s="9"/>
      <c r="AA59" s="9"/>
      <c r="AB59" s="9"/>
      <c r="AC59" s="9"/>
      <c r="AD59" s="9"/>
      <c r="AE59" s="9"/>
      <c r="AF59" s="10">
        <f t="shared" si="8"/>
        <v>1541873</v>
      </c>
    </row>
    <row r="60" spans="1:32" ht="11.25">
      <c r="A60" s="9" t="s">
        <v>43</v>
      </c>
      <c r="B60" s="9"/>
      <c r="C60" s="9"/>
      <c r="D60" s="9"/>
      <c r="E60" s="9"/>
      <c r="F60" s="9">
        <v>355130</v>
      </c>
      <c r="G60" s="9">
        <v>368862</v>
      </c>
      <c r="H60" s="9">
        <v>527723</v>
      </c>
      <c r="I60" s="9">
        <v>360648</v>
      </c>
      <c r="J60" s="9">
        <v>305957</v>
      </c>
      <c r="K60" s="9">
        <v>386995</v>
      </c>
      <c r="L60" s="9">
        <v>313661</v>
      </c>
      <c r="M60" s="9">
        <v>293158</v>
      </c>
      <c r="N60" s="9"/>
      <c r="O60" s="9"/>
      <c r="P60" s="9"/>
      <c r="Q60" s="9"/>
      <c r="R60" s="9">
        <v>204199</v>
      </c>
      <c r="S60" s="9"/>
      <c r="T60" s="9"/>
      <c r="U60" s="9"/>
      <c r="V60" s="9"/>
      <c r="W60" s="9"/>
      <c r="X60" s="9">
        <v>87455</v>
      </c>
      <c r="Y60" s="9"/>
      <c r="Z60" s="9"/>
      <c r="AA60" s="9"/>
      <c r="AB60" s="9"/>
      <c r="AC60" s="9"/>
      <c r="AD60" s="9"/>
      <c r="AE60" s="9"/>
      <c r="AF60" s="10">
        <f t="shared" si="8"/>
        <v>3203788</v>
      </c>
    </row>
    <row r="61" spans="1:32" ht="11.25">
      <c r="A61" s="9" t="s">
        <v>44</v>
      </c>
      <c r="B61" s="9"/>
      <c r="C61" s="9"/>
      <c r="D61" s="9"/>
      <c r="E61" s="9"/>
      <c r="F61" s="9">
        <v>56498</v>
      </c>
      <c r="G61" s="9">
        <v>58683</v>
      </c>
      <c r="H61" s="9">
        <v>83956</v>
      </c>
      <c r="I61" s="9">
        <v>57376</v>
      </c>
      <c r="J61" s="9">
        <v>48675</v>
      </c>
      <c r="K61" s="9">
        <v>61562</v>
      </c>
      <c r="L61" s="9">
        <v>49901</v>
      </c>
      <c r="M61" s="9">
        <v>46639</v>
      </c>
      <c r="N61" s="9"/>
      <c r="O61" s="9"/>
      <c r="P61" s="9"/>
      <c r="Q61" s="9"/>
      <c r="R61" s="9">
        <v>32486</v>
      </c>
      <c r="S61" s="9"/>
      <c r="T61" s="9"/>
      <c r="U61" s="9"/>
      <c r="V61" s="9"/>
      <c r="W61" s="9"/>
      <c r="X61" s="9">
        <v>13913</v>
      </c>
      <c r="Y61" s="9"/>
      <c r="Z61" s="9"/>
      <c r="AA61" s="9"/>
      <c r="AB61" s="9"/>
      <c r="AC61" s="9"/>
      <c r="AD61" s="9"/>
      <c r="AE61" s="9"/>
      <c r="AF61" s="10">
        <f t="shared" si="8"/>
        <v>509689</v>
      </c>
    </row>
    <row r="62" spans="1:32" ht="11.25">
      <c r="A62" s="9" t="s">
        <v>45</v>
      </c>
      <c r="B62" s="9"/>
      <c r="C62" s="9"/>
      <c r="D62" s="9"/>
      <c r="E62" s="9"/>
      <c r="F62" s="9">
        <v>8500</v>
      </c>
      <c r="G62" s="9">
        <v>16008</v>
      </c>
      <c r="H62" s="9">
        <v>39300</v>
      </c>
      <c r="I62" s="9">
        <v>3600</v>
      </c>
      <c r="J62" s="9">
        <v>0</v>
      </c>
      <c r="K62" s="9">
        <v>0</v>
      </c>
      <c r="L62" s="9">
        <v>0</v>
      </c>
      <c r="M62" s="9">
        <v>15700</v>
      </c>
      <c r="N62" s="9"/>
      <c r="O62" s="9"/>
      <c r="P62" s="9"/>
      <c r="Q62" s="9"/>
      <c r="R62" s="9">
        <v>4000</v>
      </c>
      <c r="S62" s="9"/>
      <c r="T62" s="9"/>
      <c r="U62" s="9"/>
      <c r="V62" s="9"/>
      <c r="W62" s="9"/>
      <c r="X62" s="9">
        <v>0</v>
      </c>
      <c r="Y62" s="9"/>
      <c r="Z62" s="9"/>
      <c r="AA62" s="9"/>
      <c r="AB62" s="9"/>
      <c r="AC62" s="9"/>
      <c r="AD62" s="9"/>
      <c r="AE62" s="9"/>
      <c r="AF62" s="10">
        <f t="shared" si="8"/>
        <v>87108</v>
      </c>
    </row>
    <row r="63" spans="1:32" ht="11.25">
      <c r="A63" s="9" t="s">
        <v>46</v>
      </c>
      <c r="B63" s="9"/>
      <c r="C63" s="9"/>
      <c r="D63" s="9"/>
      <c r="E63" s="9"/>
      <c r="F63" s="9">
        <v>40000</v>
      </c>
      <c r="G63" s="9">
        <v>0</v>
      </c>
      <c r="H63" s="9">
        <v>0</v>
      </c>
      <c r="I63" s="9">
        <v>9000</v>
      </c>
      <c r="J63" s="9">
        <v>9840</v>
      </c>
      <c r="K63" s="9">
        <v>3251</v>
      </c>
      <c r="L63" s="9">
        <v>0</v>
      </c>
      <c r="M63" s="9">
        <v>0</v>
      </c>
      <c r="N63" s="9"/>
      <c r="O63" s="9"/>
      <c r="P63" s="9"/>
      <c r="Q63" s="9"/>
      <c r="R63" s="9">
        <v>0</v>
      </c>
      <c r="S63" s="9"/>
      <c r="T63" s="9"/>
      <c r="U63" s="9"/>
      <c r="V63" s="9"/>
      <c r="W63" s="9"/>
      <c r="X63" s="9">
        <v>0</v>
      </c>
      <c r="Y63" s="9"/>
      <c r="Z63" s="9"/>
      <c r="AA63" s="9"/>
      <c r="AB63" s="9"/>
      <c r="AC63" s="9"/>
      <c r="AD63" s="9"/>
      <c r="AE63" s="9"/>
      <c r="AF63" s="10">
        <f t="shared" si="8"/>
        <v>62091</v>
      </c>
    </row>
    <row r="64" spans="1:32" ht="11.25">
      <c r="A64" s="9" t="s">
        <v>47</v>
      </c>
      <c r="B64" s="9"/>
      <c r="C64" s="9"/>
      <c r="D64" s="9"/>
      <c r="E64" s="9"/>
      <c r="F64" s="9">
        <v>79984</v>
      </c>
      <c r="G64" s="9">
        <f>23318+5000</f>
        <v>28318</v>
      </c>
      <c r="H64" s="9">
        <v>6000</v>
      </c>
      <c r="I64" s="9">
        <v>22326</v>
      </c>
      <c r="J64" s="9">
        <v>13964</v>
      </c>
      <c r="K64" s="9">
        <f>27000+1000</f>
        <v>28000</v>
      </c>
      <c r="L64" s="9">
        <f>17000+5000</f>
        <v>22000</v>
      </c>
      <c r="M64" s="9">
        <f>25196+5000</f>
        <v>30196</v>
      </c>
      <c r="N64" s="9"/>
      <c r="O64" s="9"/>
      <c r="P64" s="9"/>
      <c r="Q64" s="9"/>
      <c r="R64" s="9">
        <v>6678</v>
      </c>
      <c r="S64" s="9"/>
      <c r="T64" s="9"/>
      <c r="U64" s="9"/>
      <c r="V64" s="9"/>
      <c r="W64" s="9"/>
      <c r="X64" s="9">
        <v>21552</v>
      </c>
      <c r="Y64" s="9"/>
      <c r="Z64" s="9"/>
      <c r="AA64" s="9"/>
      <c r="AB64" s="9"/>
      <c r="AC64" s="9"/>
      <c r="AD64" s="9"/>
      <c r="AE64" s="9"/>
      <c r="AF64" s="10">
        <f t="shared" si="8"/>
        <v>259018</v>
      </c>
    </row>
    <row r="65" spans="1:32" ht="11.25">
      <c r="A65" s="9" t="s">
        <v>49</v>
      </c>
      <c r="B65" s="9"/>
      <c r="C65" s="9"/>
      <c r="D65" s="9"/>
      <c r="E65" s="9"/>
      <c r="F65" s="9">
        <v>2000</v>
      </c>
      <c r="G65" s="9">
        <v>15000</v>
      </c>
      <c r="H65" s="9">
        <v>0</v>
      </c>
      <c r="I65" s="9">
        <f>1000+3000</f>
        <v>4000</v>
      </c>
      <c r="J65" s="9">
        <v>2000</v>
      </c>
      <c r="K65" s="9">
        <v>1000</v>
      </c>
      <c r="L65" s="9">
        <v>12500</v>
      </c>
      <c r="M65" s="9">
        <v>2000</v>
      </c>
      <c r="N65" s="9"/>
      <c r="O65" s="9"/>
      <c r="P65" s="9"/>
      <c r="Q65" s="9"/>
      <c r="R65" s="9">
        <v>3000</v>
      </c>
      <c r="S65" s="9"/>
      <c r="T65" s="9"/>
      <c r="U65" s="9"/>
      <c r="V65" s="9"/>
      <c r="W65" s="9"/>
      <c r="X65" s="9">
        <f>3000+2000</f>
        <v>5000</v>
      </c>
      <c r="Y65" s="9"/>
      <c r="Z65" s="9"/>
      <c r="AA65" s="9"/>
      <c r="AB65" s="9"/>
      <c r="AC65" s="9"/>
      <c r="AD65" s="9"/>
      <c r="AE65" s="9"/>
      <c r="AF65" s="10">
        <f t="shared" si="8"/>
        <v>46500</v>
      </c>
    </row>
    <row r="66" spans="1:32" ht="11.25">
      <c r="A66" s="9" t="s">
        <v>50</v>
      </c>
      <c r="B66" s="9"/>
      <c r="C66" s="9"/>
      <c r="D66" s="9"/>
      <c r="E66" s="9"/>
      <c r="F66" s="9">
        <v>170000</v>
      </c>
      <c r="G66" s="9">
        <v>202800</v>
      </c>
      <c r="H66" s="9">
        <v>192339</v>
      </c>
      <c r="I66" s="9">
        <v>155332</v>
      </c>
      <c r="J66" s="9">
        <v>83053</v>
      </c>
      <c r="K66" s="9">
        <v>107081</v>
      </c>
      <c r="L66" s="9">
        <v>64700</v>
      </c>
      <c r="M66" s="9">
        <v>104538</v>
      </c>
      <c r="N66" s="9"/>
      <c r="O66" s="9"/>
      <c r="P66" s="9"/>
      <c r="Q66" s="9"/>
      <c r="R66" s="9">
        <v>103413</v>
      </c>
      <c r="S66" s="9"/>
      <c r="T66" s="9"/>
      <c r="U66" s="9"/>
      <c r="V66" s="9"/>
      <c r="W66" s="9"/>
      <c r="X66" s="9">
        <v>19675</v>
      </c>
      <c r="Y66" s="9"/>
      <c r="Z66" s="9"/>
      <c r="AA66" s="9"/>
      <c r="AB66" s="9"/>
      <c r="AC66" s="9"/>
      <c r="AD66" s="9"/>
      <c r="AE66" s="9"/>
      <c r="AF66" s="10">
        <f t="shared" si="8"/>
        <v>1202931</v>
      </c>
    </row>
    <row r="67" spans="1:32" ht="11.25">
      <c r="A67" s="9" t="s">
        <v>51</v>
      </c>
      <c r="B67" s="9"/>
      <c r="C67" s="9"/>
      <c r="D67" s="9"/>
      <c r="E67" s="9"/>
      <c r="F67" s="9">
        <v>3000</v>
      </c>
      <c r="G67" s="9">
        <v>60000</v>
      </c>
      <c r="H67" s="9">
        <v>100000</v>
      </c>
      <c r="I67" s="9">
        <v>250000</v>
      </c>
      <c r="J67" s="9">
        <v>2000</v>
      </c>
      <c r="K67" s="9">
        <f>4000+65000</f>
        <v>69000</v>
      </c>
      <c r="L67" s="9">
        <f>6000+40000</f>
        <v>46000</v>
      </c>
      <c r="M67" s="9">
        <f>10000+220000</f>
        <v>230000</v>
      </c>
      <c r="N67" s="9"/>
      <c r="O67" s="9"/>
      <c r="P67" s="9"/>
      <c r="Q67" s="9"/>
      <c r="R67" s="9">
        <v>500</v>
      </c>
      <c r="S67" s="9"/>
      <c r="T67" s="9"/>
      <c r="U67" s="9"/>
      <c r="V67" s="9"/>
      <c r="W67" s="9"/>
      <c r="X67" s="9">
        <v>50000</v>
      </c>
      <c r="Y67" s="9"/>
      <c r="Z67" s="9"/>
      <c r="AA67" s="9"/>
      <c r="AB67" s="9"/>
      <c r="AC67" s="9"/>
      <c r="AD67" s="9"/>
      <c r="AE67" s="9"/>
      <c r="AF67" s="10">
        <f t="shared" si="8"/>
        <v>810500</v>
      </c>
    </row>
    <row r="68" spans="1:32" ht="11.25">
      <c r="A68" s="9" t="s">
        <v>52</v>
      </c>
      <c r="B68" s="9"/>
      <c r="C68" s="9"/>
      <c r="D68" s="9"/>
      <c r="E68" s="9"/>
      <c r="F68" s="9">
        <v>2000</v>
      </c>
      <c r="G68" s="9">
        <v>2140</v>
      </c>
      <c r="H68" s="9">
        <v>10000</v>
      </c>
      <c r="I68" s="9">
        <v>4000</v>
      </c>
      <c r="J68" s="9">
        <v>3000</v>
      </c>
      <c r="K68" s="9">
        <v>2000</v>
      </c>
      <c r="L68" s="9">
        <v>3500</v>
      </c>
      <c r="M68" s="9">
        <v>3000</v>
      </c>
      <c r="N68" s="9"/>
      <c r="O68" s="9"/>
      <c r="P68" s="9"/>
      <c r="Q68" s="9"/>
      <c r="R68" s="9">
        <v>2500</v>
      </c>
      <c r="S68" s="9"/>
      <c r="T68" s="9"/>
      <c r="U68" s="9"/>
      <c r="V68" s="9"/>
      <c r="W68" s="9"/>
      <c r="X68" s="9">
        <v>1000</v>
      </c>
      <c r="Y68" s="9"/>
      <c r="Z68" s="9"/>
      <c r="AA68" s="9"/>
      <c r="AB68" s="9"/>
      <c r="AC68" s="9"/>
      <c r="AD68" s="9"/>
      <c r="AE68" s="9"/>
      <c r="AF68" s="10">
        <f t="shared" si="8"/>
        <v>33140</v>
      </c>
    </row>
    <row r="69" spans="1:32" ht="11.25">
      <c r="A69" s="9" t="s">
        <v>53</v>
      </c>
      <c r="B69" s="9"/>
      <c r="C69" s="9"/>
      <c r="D69" s="9"/>
      <c r="E69" s="9"/>
      <c r="F69" s="9">
        <v>154500</v>
      </c>
      <c r="G69" s="9">
        <v>22500</v>
      </c>
      <c r="H69" s="9">
        <v>70900</v>
      </c>
      <c r="I69" s="9">
        <f>30642+5000</f>
        <v>35642</v>
      </c>
      <c r="J69" s="9">
        <v>26200</v>
      </c>
      <c r="K69" s="9">
        <v>26500</v>
      </c>
      <c r="L69" s="9">
        <v>101518</v>
      </c>
      <c r="M69" s="9">
        <v>26000</v>
      </c>
      <c r="N69" s="9"/>
      <c r="O69" s="9"/>
      <c r="P69" s="9"/>
      <c r="Q69" s="9"/>
      <c r="R69" s="9">
        <v>10989</v>
      </c>
      <c r="S69" s="9"/>
      <c r="T69" s="9"/>
      <c r="U69" s="9"/>
      <c r="V69" s="9"/>
      <c r="W69" s="9"/>
      <c r="X69" s="9">
        <v>12000</v>
      </c>
      <c r="Y69" s="9"/>
      <c r="Z69" s="9"/>
      <c r="AA69" s="9"/>
      <c r="AB69" s="9"/>
      <c r="AC69" s="9"/>
      <c r="AD69" s="9"/>
      <c r="AE69" s="9"/>
      <c r="AF69" s="10">
        <f t="shared" si="8"/>
        <v>486749</v>
      </c>
    </row>
    <row r="70" spans="1:32" ht="11.25">
      <c r="A70" s="9" t="s">
        <v>55</v>
      </c>
      <c r="B70" s="9"/>
      <c r="C70" s="9"/>
      <c r="D70" s="9"/>
      <c r="E70" s="9"/>
      <c r="F70" s="9">
        <v>2100</v>
      </c>
      <c r="G70" s="9">
        <v>1900</v>
      </c>
      <c r="H70" s="9">
        <v>0</v>
      </c>
      <c r="I70" s="9">
        <v>1000</v>
      </c>
      <c r="J70" s="9">
        <v>348</v>
      </c>
      <c r="K70" s="9">
        <v>2000</v>
      </c>
      <c r="L70" s="9">
        <v>350</v>
      </c>
      <c r="M70" s="9">
        <v>400</v>
      </c>
      <c r="N70" s="9"/>
      <c r="O70" s="9"/>
      <c r="P70" s="9"/>
      <c r="Q70" s="9"/>
      <c r="R70" s="9">
        <v>1000</v>
      </c>
      <c r="S70" s="9"/>
      <c r="T70" s="9"/>
      <c r="U70" s="9"/>
      <c r="V70" s="9"/>
      <c r="W70" s="9"/>
      <c r="X70" s="9">
        <v>1000</v>
      </c>
      <c r="Y70" s="9"/>
      <c r="Z70" s="9"/>
      <c r="AA70" s="9"/>
      <c r="AB70" s="9"/>
      <c r="AC70" s="9"/>
      <c r="AD70" s="9"/>
      <c r="AE70" s="9"/>
      <c r="AF70" s="10">
        <f t="shared" si="8"/>
        <v>10098</v>
      </c>
    </row>
    <row r="71" spans="1:32" ht="11.25">
      <c r="A71" s="9" t="s">
        <v>56</v>
      </c>
      <c r="B71" s="9"/>
      <c r="C71" s="9"/>
      <c r="D71" s="9"/>
      <c r="E71" s="9"/>
      <c r="F71" s="9">
        <v>0</v>
      </c>
      <c r="G71" s="9">
        <v>950</v>
      </c>
      <c r="H71" s="9">
        <v>0</v>
      </c>
      <c r="I71" s="9">
        <v>700</v>
      </c>
      <c r="J71" s="9">
        <v>0</v>
      </c>
      <c r="K71" s="9">
        <v>0</v>
      </c>
      <c r="L71" s="9">
        <v>0</v>
      </c>
      <c r="M71" s="9">
        <v>0</v>
      </c>
      <c r="N71" s="9"/>
      <c r="O71" s="9"/>
      <c r="P71" s="9"/>
      <c r="Q71" s="9"/>
      <c r="R71" s="9">
        <v>0</v>
      </c>
      <c r="S71" s="9"/>
      <c r="T71" s="9"/>
      <c r="U71" s="9"/>
      <c r="V71" s="9"/>
      <c r="W71" s="9"/>
      <c r="X71" s="9">
        <v>0</v>
      </c>
      <c r="Y71" s="9"/>
      <c r="Z71" s="9"/>
      <c r="AA71" s="9"/>
      <c r="AB71" s="9"/>
      <c r="AC71" s="9"/>
      <c r="AD71" s="9"/>
      <c r="AE71" s="9"/>
      <c r="AF71" s="10">
        <f t="shared" si="8"/>
        <v>1650</v>
      </c>
    </row>
    <row r="72" spans="1:32" ht="11.25">
      <c r="A72" s="9" t="s">
        <v>57</v>
      </c>
      <c r="B72" s="9"/>
      <c r="C72" s="9"/>
      <c r="D72" s="9"/>
      <c r="E72" s="9"/>
      <c r="F72" s="9">
        <v>4500</v>
      </c>
      <c r="G72" s="9">
        <v>2100</v>
      </c>
      <c r="H72" s="9">
        <v>0</v>
      </c>
      <c r="I72" s="9">
        <v>4000</v>
      </c>
      <c r="J72" s="9">
        <v>4600</v>
      </c>
      <c r="K72" s="9">
        <v>3200</v>
      </c>
      <c r="L72" s="9">
        <v>7200</v>
      </c>
      <c r="M72" s="9">
        <v>700</v>
      </c>
      <c r="N72" s="9"/>
      <c r="O72" s="9"/>
      <c r="P72" s="9"/>
      <c r="Q72" s="9"/>
      <c r="R72" s="9">
        <v>1800</v>
      </c>
      <c r="S72" s="9"/>
      <c r="T72" s="9"/>
      <c r="U72" s="9"/>
      <c r="V72" s="9"/>
      <c r="W72" s="9"/>
      <c r="X72" s="9">
        <v>3800</v>
      </c>
      <c r="Y72" s="9"/>
      <c r="Z72" s="9"/>
      <c r="AA72" s="9"/>
      <c r="AB72" s="9"/>
      <c r="AC72" s="9"/>
      <c r="AD72" s="9"/>
      <c r="AE72" s="9"/>
      <c r="AF72" s="10">
        <f t="shared" si="8"/>
        <v>31900</v>
      </c>
    </row>
    <row r="73" spans="1:32" ht="11.25">
      <c r="A73" s="9" t="s">
        <v>58</v>
      </c>
      <c r="B73" s="9"/>
      <c r="C73" s="9"/>
      <c r="D73" s="9"/>
      <c r="E73" s="9"/>
      <c r="F73" s="9">
        <v>1000</v>
      </c>
      <c r="G73" s="9">
        <v>1500</v>
      </c>
      <c r="H73" s="9">
        <v>0</v>
      </c>
      <c r="I73" s="9">
        <v>900</v>
      </c>
      <c r="J73" s="9">
        <v>400</v>
      </c>
      <c r="K73" s="9">
        <v>2700</v>
      </c>
      <c r="L73" s="9">
        <v>500</v>
      </c>
      <c r="M73" s="9">
        <v>0</v>
      </c>
      <c r="N73" s="9"/>
      <c r="O73" s="9"/>
      <c r="P73" s="9"/>
      <c r="Q73" s="9"/>
      <c r="R73" s="9">
        <v>1000</v>
      </c>
      <c r="S73" s="9"/>
      <c r="T73" s="9"/>
      <c r="U73" s="9"/>
      <c r="V73" s="9"/>
      <c r="W73" s="9"/>
      <c r="X73" s="9">
        <v>0</v>
      </c>
      <c r="Y73" s="9"/>
      <c r="Z73" s="9"/>
      <c r="AA73" s="9"/>
      <c r="AB73" s="9"/>
      <c r="AC73" s="9"/>
      <c r="AD73" s="9"/>
      <c r="AE73" s="9"/>
      <c r="AF73" s="10">
        <f t="shared" si="8"/>
        <v>8000</v>
      </c>
    </row>
    <row r="74" spans="1:32" ht="11.25">
      <c r="A74" s="9" t="s">
        <v>60</v>
      </c>
      <c r="B74" s="9"/>
      <c r="C74" s="9"/>
      <c r="D74" s="9"/>
      <c r="E74" s="9"/>
      <c r="F74" s="9">
        <v>2500</v>
      </c>
      <c r="G74" s="9">
        <v>0</v>
      </c>
      <c r="H74" s="9">
        <v>8000</v>
      </c>
      <c r="I74" s="9">
        <v>1000</v>
      </c>
      <c r="J74" s="9">
        <v>5000</v>
      </c>
      <c r="K74" s="9">
        <v>5104</v>
      </c>
      <c r="L74" s="9">
        <v>1000</v>
      </c>
      <c r="M74" s="9">
        <v>0</v>
      </c>
      <c r="N74" s="9"/>
      <c r="O74" s="9"/>
      <c r="P74" s="9"/>
      <c r="Q74" s="9"/>
      <c r="R74" s="9">
        <v>2000</v>
      </c>
      <c r="S74" s="9"/>
      <c r="T74" s="9"/>
      <c r="U74" s="9"/>
      <c r="V74" s="9"/>
      <c r="W74" s="9"/>
      <c r="X74" s="9">
        <v>0</v>
      </c>
      <c r="Y74" s="9"/>
      <c r="Z74" s="9"/>
      <c r="AA74" s="9"/>
      <c r="AB74" s="9"/>
      <c r="AC74" s="9"/>
      <c r="AD74" s="9"/>
      <c r="AE74" s="9"/>
      <c r="AF74" s="10">
        <f t="shared" si="8"/>
        <v>24604</v>
      </c>
    </row>
    <row r="75" spans="1:32" ht="11.25">
      <c r="A75" s="9" t="s">
        <v>61</v>
      </c>
      <c r="B75" s="9"/>
      <c r="C75" s="9"/>
      <c r="D75" s="9"/>
      <c r="E75" s="9"/>
      <c r="F75" s="9">
        <v>114811</v>
      </c>
      <c r="G75" s="9">
        <v>136160</v>
      </c>
      <c r="H75" s="9">
        <v>175436</v>
      </c>
      <c r="I75" s="9">
        <v>119224</v>
      </c>
      <c r="J75" s="9">
        <v>109648</v>
      </c>
      <c r="K75" s="9">
        <v>136985</v>
      </c>
      <c r="L75" s="9">
        <v>115992</v>
      </c>
      <c r="M75" s="9">
        <v>110277</v>
      </c>
      <c r="N75" s="9"/>
      <c r="O75" s="9"/>
      <c r="P75" s="9"/>
      <c r="Q75" s="9"/>
      <c r="R75" s="9">
        <v>62164</v>
      </c>
      <c r="S75" s="9"/>
      <c r="T75" s="9"/>
      <c r="U75" s="9"/>
      <c r="V75" s="9"/>
      <c r="W75" s="9"/>
      <c r="X75" s="9">
        <v>30310</v>
      </c>
      <c r="Y75" s="9"/>
      <c r="Z75" s="9"/>
      <c r="AA75" s="9"/>
      <c r="AB75" s="9"/>
      <c r="AC75" s="9"/>
      <c r="AD75" s="9"/>
      <c r="AE75" s="9"/>
      <c r="AF75" s="10">
        <f t="shared" si="8"/>
        <v>1111007</v>
      </c>
    </row>
    <row r="76" spans="1:32" ht="11.25">
      <c r="A76" s="9" t="s">
        <v>62</v>
      </c>
      <c r="B76" s="9"/>
      <c r="C76" s="9"/>
      <c r="D76" s="9"/>
      <c r="E76" s="9"/>
      <c r="F76" s="9">
        <v>1000</v>
      </c>
      <c r="G76" s="9">
        <v>0</v>
      </c>
      <c r="H76" s="9">
        <v>0</v>
      </c>
      <c r="I76" s="9">
        <v>1000</v>
      </c>
      <c r="J76" s="9">
        <v>500</v>
      </c>
      <c r="K76" s="9">
        <v>2000</v>
      </c>
      <c r="L76" s="9">
        <v>500</v>
      </c>
      <c r="M76" s="9">
        <v>0</v>
      </c>
      <c r="N76" s="9"/>
      <c r="O76" s="9"/>
      <c r="P76" s="9"/>
      <c r="Q76" s="9"/>
      <c r="R76" s="9">
        <v>1000</v>
      </c>
      <c r="S76" s="9"/>
      <c r="T76" s="9"/>
      <c r="U76" s="9"/>
      <c r="V76" s="9"/>
      <c r="W76" s="9"/>
      <c r="X76" s="9">
        <v>0</v>
      </c>
      <c r="Y76" s="9"/>
      <c r="Z76" s="9"/>
      <c r="AA76" s="9"/>
      <c r="AB76" s="9"/>
      <c r="AC76" s="9"/>
      <c r="AD76" s="9"/>
      <c r="AE76" s="9"/>
      <c r="AF76" s="10">
        <f t="shared" si="8"/>
        <v>6000</v>
      </c>
    </row>
    <row r="77" spans="1:32" ht="11.25">
      <c r="A77" s="9" t="s">
        <v>63</v>
      </c>
      <c r="B77" s="9"/>
      <c r="C77" s="9"/>
      <c r="D77" s="9"/>
      <c r="E77" s="9"/>
      <c r="F77" s="9">
        <v>2000</v>
      </c>
      <c r="G77" s="9">
        <v>0</v>
      </c>
      <c r="H77" s="9">
        <v>0</v>
      </c>
      <c r="I77" s="9">
        <v>4000</v>
      </c>
      <c r="J77" s="9">
        <v>1000</v>
      </c>
      <c r="K77" s="9">
        <v>1500</v>
      </c>
      <c r="L77" s="9">
        <v>1000</v>
      </c>
      <c r="M77" s="9">
        <v>300</v>
      </c>
      <c r="N77" s="9"/>
      <c r="O77" s="9"/>
      <c r="P77" s="9"/>
      <c r="Q77" s="9"/>
      <c r="R77" s="9">
        <v>1000</v>
      </c>
      <c r="S77" s="9"/>
      <c r="T77" s="9"/>
      <c r="U77" s="9"/>
      <c r="V77" s="9"/>
      <c r="W77" s="9"/>
      <c r="X77" s="9">
        <v>3000</v>
      </c>
      <c r="Y77" s="9"/>
      <c r="Z77" s="9"/>
      <c r="AA77" s="9"/>
      <c r="AB77" s="9"/>
      <c r="AC77" s="9"/>
      <c r="AD77" s="9"/>
      <c r="AE77" s="9"/>
      <c r="AF77" s="10">
        <f t="shared" si="8"/>
        <v>13800</v>
      </c>
    </row>
    <row r="78" spans="1:32" ht="11.25">
      <c r="A78" s="9" t="s">
        <v>64</v>
      </c>
      <c r="B78" s="9"/>
      <c r="C78" s="9"/>
      <c r="D78" s="9"/>
      <c r="E78" s="9"/>
      <c r="F78" s="9">
        <v>10200</v>
      </c>
      <c r="G78" s="9">
        <v>0</v>
      </c>
      <c r="H78" s="9">
        <v>0</v>
      </c>
      <c r="I78" s="9">
        <v>2500</v>
      </c>
      <c r="J78" s="9">
        <v>3000</v>
      </c>
      <c r="K78" s="9">
        <v>1000</v>
      </c>
      <c r="L78" s="9">
        <v>4000</v>
      </c>
      <c r="M78" s="9">
        <v>3500</v>
      </c>
      <c r="N78" s="9"/>
      <c r="O78" s="9"/>
      <c r="P78" s="9"/>
      <c r="Q78" s="9"/>
      <c r="R78" s="9">
        <v>1000</v>
      </c>
      <c r="S78" s="9"/>
      <c r="T78" s="9"/>
      <c r="U78" s="9"/>
      <c r="V78" s="9"/>
      <c r="W78" s="9"/>
      <c r="X78" s="9">
        <v>0</v>
      </c>
      <c r="Y78" s="9"/>
      <c r="Z78" s="9"/>
      <c r="AA78" s="9"/>
      <c r="AB78" s="9"/>
      <c r="AC78" s="9"/>
      <c r="AD78" s="9"/>
      <c r="AE78" s="9"/>
      <c r="AF78" s="10">
        <f t="shared" si="8"/>
        <v>25200</v>
      </c>
    </row>
    <row r="79" spans="1:32" s="27" customFormat="1" ht="11.25">
      <c r="A79" s="25" t="s">
        <v>118</v>
      </c>
      <c r="B79" s="25">
        <f aca="true" t="shared" si="9" ref="B79:AF79">SUM(B57:B78)</f>
        <v>0</v>
      </c>
      <c r="C79" s="25">
        <f t="shared" si="9"/>
        <v>0</v>
      </c>
      <c r="D79" s="25">
        <f t="shared" si="9"/>
        <v>0</v>
      </c>
      <c r="E79" s="25">
        <f t="shared" si="9"/>
        <v>0</v>
      </c>
      <c r="F79" s="25">
        <f t="shared" si="9"/>
        <v>3334881</v>
      </c>
      <c r="G79" s="25">
        <f t="shared" si="9"/>
        <v>3334804</v>
      </c>
      <c r="H79" s="25">
        <f t="shared" si="9"/>
        <v>4674355</v>
      </c>
      <c r="I79" s="25">
        <f t="shared" si="9"/>
        <v>3398943</v>
      </c>
      <c r="J79" s="25">
        <f t="shared" si="9"/>
        <v>2624760</v>
      </c>
      <c r="K79" s="25">
        <f t="shared" si="9"/>
        <v>3372958</v>
      </c>
      <c r="L79" s="25">
        <f t="shared" si="9"/>
        <v>2800099</v>
      </c>
      <c r="M79" s="25">
        <f t="shared" si="9"/>
        <v>2786797</v>
      </c>
      <c r="N79" s="25">
        <f t="shared" si="9"/>
        <v>0</v>
      </c>
      <c r="O79" s="25">
        <f t="shared" si="9"/>
        <v>0</v>
      </c>
      <c r="P79" s="25">
        <f t="shared" si="9"/>
        <v>0</v>
      </c>
      <c r="Q79" s="25">
        <f t="shared" si="9"/>
        <v>0</v>
      </c>
      <c r="R79" s="25">
        <f t="shared" si="9"/>
        <v>1776256</v>
      </c>
      <c r="S79" s="25">
        <f t="shared" si="9"/>
        <v>0</v>
      </c>
      <c r="T79" s="25">
        <f t="shared" si="9"/>
        <v>0</v>
      </c>
      <c r="U79" s="25">
        <f t="shared" si="9"/>
        <v>0</v>
      </c>
      <c r="V79" s="25">
        <f t="shared" si="9"/>
        <v>0</v>
      </c>
      <c r="W79" s="25">
        <f t="shared" si="9"/>
        <v>0</v>
      </c>
      <c r="X79" s="25">
        <f t="shared" si="9"/>
        <v>820580</v>
      </c>
      <c r="Y79" s="25">
        <f t="shared" si="9"/>
        <v>0</v>
      </c>
      <c r="Z79" s="25">
        <f t="shared" si="9"/>
        <v>0</v>
      </c>
      <c r="AA79" s="25">
        <f t="shared" si="9"/>
        <v>0</v>
      </c>
      <c r="AB79" s="25">
        <f t="shared" si="9"/>
        <v>0</v>
      </c>
      <c r="AC79" s="25">
        <f t="shared" si="9"/>
        <v>0</v>
      </c>
      <c r="AD79" s="25">
        <f t="shared" si="9"/>
        <v>0</v>
      </c>
      <c r="AE79" s="25">
        <f t="shared" si="9"/>
        <v>0</v>
      </c>
      <c r="AF79" s="25">
        <f t="shared" si="9"/>
        <v>28924433</v>
      </c>
    </row>
    <row r="80" spans="1:32" ht="11.25">
      <c r="A80" s="9" t="s">
        <v>40</v>
      </c>
      <c r="B80" s="9">
        <v>555</v>
      </c>
      <c r="C80" s="9"/>
      <c r="D80" s="9"/>
      <c r="E80" s="9">
        <v>937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10">
        <f aca="true" t="shared" si="10" ref="AF80:AF91">SUM(B80:AE80)</f>
        <v>1492</v>
      </c>
    </row>
    <row r="81" spans="1:32" ht="11.25">
      <c r="A81" s="9" t="s">
        <v>41</v>
      </c>
      <c r="B81" s="9">
        <v>284673</v>
      </c>
      <c r="C81" s="9"/>
      <c r="D81" s="9"/>
      <c r="E81" s="9">
        <v>269719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10">
        <f t="shared" si="10"/>
        <v>554392</v>
      </c>
    </row>
    <row r="82" spans="1:32" ht="11.25">
      <c r="A82" s="9" t="s">
        <v>42</v>
      </c>
      <c r="B82" s="9">
        <v>24156</v>
      </c>
      <c r="C82" s="9"/>
      <c r="D82" s="9"/>
      <c r="E82" s="9">
        <v>20932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10">
        <f t="shared" si="10"/>
        <v>45088</v>
      </c>
    </row>
    <row r="83" spans="1:32" ht="11.25">
      <c r="A83" s="9" t="s">
        <v>43</v>
      </c>
      <c r="B83" s="9">
        <v>47212</v>
      </c>
      <c r="C83" s="9"/>
      <c r="D83" s="9"/>
      <c r="E83" s="9">
        <v>44430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10">
        <f t="shared" si="10"/>
        <v>91642</v>
      </c>
    </row>
    <row r="84" spans="1:32" ht="11.25">
      <c r="A84" s="9" t="s">
        <v>44</v>
      </c>
      <c r="B84" s="9">
        <v>7511</v>
      </c>
      <c r="C84" s="9"/>
      <c r="D84" s="9"/>
      <c r="E84" s="9">
        <v>7068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0">
        <f t="shared" si="10"/>
        <v>14579</v>
      </c>
    </row>
    <row r="85" spans="1:32" ht="11.25">
      <c r="A85" s="9" t="s">
        <v>47</v>
      </c>
      <c r="B85" s="9">
        <v>4911</v>
      </c>
      <c r="C85" s="9"/>
      <c r="D85" s="9"/>
      <c r="E85" s="9">
        <v>4412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10">
        <f t="shared" si="10"/>
        <v>9323</v>
      </c>
    </row>
    <row r="86" spans="1:32" ht="11.25">
      <c r="A86" s="9" t="s">
        <v>49</v>
      </c>
      <c r="B86" s="9">
        <v>304</v>
      </c>
      <c r="C86" s="9"/>
      <c r="D86" s="9"/>
      <c r="E86" s="9">
        <v>393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10">
        <f t="shared" si="10"/>
        <v>697</v>
      </c>
    </row>
    <row r="87" spans="1:32" ht="11.25">
      <c r="A87" s="9" t="s">
        <v>52</v>
      </c>
      <c r="B87" s="9">
        <v>0</v>
      </c>
      <c r="C87" s="9"/>
      <c r="D87" s="9"/>
      <c r="E87" s="9">
        <v>711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10">
        <f t="shared" si="10"/>
        <v>711</v>
      </c>
    </row>
    <row r="88" spans="1:32" ht="11.25">
      <c r="A88" s="9" t="s">
        <v>53</v>
      </c>
      <c r="B88" s="9">
        <v>0</v>
      </c>
      <c r="C88" s="9"/>
      <c r="D88" s="9"/>
      <c r="E88" s="9">
        <v>156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10">
        <f t="shared" si="10"/>
        <v>156</v>
      </c>
    </row>
    <row r="89" spans="1:32" ht="11.25">
      <c r="A89" s="9" t="s">
        <v>57</v>
      </c>
      <c r="B89" s="9">
        <v>0</v>
      </c>
      <c r="C89" s="9"/>
      <c r="D89" s="9"/>
      <c r="E89" s="9">
        <v>288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10">
        <f t="shared" si="10"/>
        <v>288</v>
      </c>
    </row>
    <row r="90" spans="1:32" ht="11.25">
      <c r="A90" s="9" t="s">
        <v>61</v>
      </c>
      <c r="B90" s="9">
        <v>12268</v>
      </c>
      <c r="C90" s="9"/>
      <c r="D90" s="9"/>
      <c r="E90" s="9">
        <v>14199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10">
        <f t="shared" si="10"/>
        <v>26467</v>
      </c>
    </row>
    <row r="91" spans="1:32" ht="11.25">
      <c r="A91" s="9" t="s">
        <v>62</v>
      </c>
      <c r="B91" s="9">
        <v>0</v>
      </c>
      <c r="C91" s="9"/>
      <c r="D91" s="9"/>
      <c r="E91" s="9">
        <v>400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10">
        <f t="shared" si="10"/>
        <v>400</v>
      </c>
    </row>
    <row r="92" spans="1:32" s="27" customFormat="1" ht="11.25">
      <c r="A92" s="25" t="s">
        <v>119</v>
      </c>
      <c r="B92" s="25">
        <f aca="true" t="shared" si="11" ref="B92:AF92">SUM(B80:B91)</f>
        <v>381590</v>
      </c>
      <c r="C92" s="25">
        <f t="shared" si="11"/>
        <v>0</v>
      </c>
      <c r="D92" s="25">
        <f t="shared" si="11"/>
        <v>0</v>
      </c>
      <c r="E92" s="25">
        <f t="shared" si="11"/>
        <v>363645</v>
      </c>
      <c r="F92" s="25">
        <f t="shared" si="11"/>
        <v>0</v>
      </c>
      <c r="G92" s="25">
        <f t="shared" si="11"/>
        <v>0</v>
      </c>
      <c r="H92" s="25">
        <f t="shared" si="11"/>
        <v>0</v>
      </c>
      <c r="I92" s="25">
        <f t="shared" si="11"/>
        <v>0</v>
      </c>
      <c r="J92" s="25">
        <f t="shared" si="11"/>
        <v>0</v>
      </c>
      <c r="K92" s="25">
        <f t="shared" si="11"/>
        <v>0</v>
      </c>
      <c r="L92" s="25">
        <f t="shared" si="11"/>
        <v>0</v>
      </c>
      <c r="M92" s="25">
        <f t="shared" si="11"/>
        <v>0</v>
      </c>
      <c r="N92" s="25">
        <f t="shared" si="11"/>
        <v>0</v>
      </c>
      <c r="O92" s="25">
        <f t="shared" si="11"/>
        <v>0</v>
      </c>
      <c r="P92" s="25">
        <f t="shared" si="11"/>
        <v>0</v>
      </c>
      <c r="Q92" s="25">
        <f t="shared" si="11"/>
        <v>0</v>
      </c>
      <c r="R92" s="25">
        <f t="shared" si="11"/>
        <v>0</v>
      </c>
      <c r="S92" s="25">
        <f t="shared" si="11"/>
        <v>0</v>
      </c>
      <c r="T92" s="25">
        <f t="shared" si="11"/>
        <v>0</v>
      </c>
      <c r="U92" s="25">
        <f t="shared" si="11"/>
        <v>0</v>
      </c>
      <c r="V92" s="25">
        <f t="shared" si="11"/>
        <v>0</v>
      </c>
      <c r="W92" s="25">
        <f t="shared" si="11"/>
        <v>0</v>
      </c>
      <c r="X92" s="25">
        <f t="shared" si="11"/>
        <v>0</v>
      </c>
      <c r="Y92" s="25">
        <f t="shared" si="11"/>
        <v>0</v>
      </c>
      <c r="Z92" s="25">
        <f t="shared" si="11"/>
        <v>0</v>
      </c>
      <c r="AA92" s="25">
        <f t="shared" si="11"/>
        <v>0</v>
      </c>
      <c r="AB92" s="25">
        <f t="shared" si="11"/>
        <v>0</v>
      </c>
      <c r="AC92" s="25">
        <f t="shared" si="11"/>
        <v>0</v>
      </c>
      <c r="AD92" s="25">
        <f t="shared" si="11"/>
        <v>0</v>
      </c>
      <c r="AE92" s="25">
        <f t="shared" si="11"/>
        <v>0</v>
      </c>
      <c r="AF92" s="25">
        <f t="shared" si="11"/>
        <v>745235</v>
      </c>
    </row>
    <row r="93" spans="1:32" ht="11.25">
      <c r="A93" s="9" t="s">
        <v>40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>
        <v>2516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10">
        <f aca="true" t="shared" si="12" ref="AF93:AF106">SUM(B93:AE93)</f>
        <v>2516</v>
      </c>
    </row>
    <row r="94" spans="1:32" ht="11.25">
      <c r="A94" s="9" t="s">
        <v>41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>
        <v>1087330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10">
        <f t="shared" si="12"/>
        <v>1087330</v>
      </c>
    </row>
    <row r="95" spans="1:32" ht="11.25">
      <c r="A95" s="9" t="s">
        <v>42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>
        <v>94572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10">
        <f t="shared" si="12"/>
        <v>94572</v>
      </c>
    </row>
    <row r="96" spans="1:32" ht="11.25">
      <c r="A96" s="9" t="s">
        <v>43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>
        <v>180955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10">
        <f t="shared" si="12"/>
        <v>180955</v>
      </c>
    </row>
    <row r="97" spans="1:32" ht="11.25">
      <c r="A97" s="9" t="s">
        <v>44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>
        <v>28788</v>
      </c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10">
        <f t="shared" si="12"/>
        <v>28788</v>
      </c>
    </row>
    <row r="98" spans="1:32" ht="11.25">
      <c r="A98" s="9" t="s">
        <v>47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>
        <v>4700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10">
        <f t="shared" si="12"/>
        <v>4700</v>
      </c>
    </row>
    <row r="99" spans="1:32" ht="11.25">
      <c r="A99" s="9" t="s">
        <v>49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>
        <v>1200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10">
        <f t="shared" si="12"/>
        <v>1200</v>
      </c>
    </row>
    <row r="100" spans="1:32" ht="11.25">
      <c r="A100" s="9" t="s">
        <v>50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>
        <v>72800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10">
        <f t="shared" si="12"/>
        <v>72800</v>
      </c>
    </row>
    <row r="101" spans="1:32" ht="11.25">
      <c r="A101" s="9" t="s">
        <v>53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>
        <v>12940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10">
        <f t="shared" si="12"/>
        <v>12940</v>
      </c>
    </row>
    <row r="102" spans="1:32" ht="11.25">
      <c r="A102" s="9" t="s">
        <v>55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>
        <v>7320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10">
        <f t="shared" si="12"/>
        <v>7320</v>
      </c>
    </row>
    <row r="103" spans="1:32" ht="11.25">
      <c r="A103" s="9" t="s">
        <v>57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>
        <v>5640</v>
      </c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10">
        <f t="shared" si="12"/>
        <v>5640</v>
      </c>
    </row>
    <row r="104" spans="1:32" ht="11.25">
      <c r="A104" s="9" t="s">
        <v>61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>
        <v>63873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10">
        <f t="shared" si="12"/>
        <v>63873</v>
      </c>
    </row>
    <row r="105" spans="1:32" ht="11.25">
      <c r="A105" s="9" t="s">
        <v>63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>
        <v>1500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10">
        <f t="shared" si="12"/>
        <v>1500</v>
      </c>
    </row>
    <row r="106" spans="1:32" ht="11.25">
      <c r="A106" s="9" t="s">
        <v>64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>
        <v>1500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10">
        <f t="shared" si="12"/>
        <v>1500</v>
      </c>
    </row>
    <row r="107" spans="1:32" s="27" customFormat="1" ht="11.25">
      <c r="A107" s="25" t="s">
        <v>120</v>
      </c>
      <c r="B107" s="25">
        <f aca="true" t="shared" si="13" ref="B107:AF107">SUM(B93:B106)</f>
        <v>0</v>
      </c>
      <c r="C107" s="25">
        <f t="shared" si="13"/>
        <v>0</v>
      </c>
      <c r="D107" s="25">
        <f t="shared" si="13"/>
        <v>0</v>
      </c>
      <c r="E107" s="25">
        <f t="shared" si="13"/>
        <v>0</v>
      </c>
      <c r="F107" s="25">
        <f t="shared" si="13"/>
        <v>0</v>
      </c>
      <c r="G107" s="25">
        <f t="shared" si="13"/>
        <v>0</v>
      </c>
      <c r="H107" s="25">
        <f t="shared" si="13"/>
        <v>0</v>
      </c>
      <c r="I107" s="25">
        <f t="shared" si="13"/>
        <v>0</v>
      </c>
      <c r="J107" s="25">
        <f t="shared" si="13"/>
        <v>0</v>
      </c>
      <c r="K107" s="25">
        <f t="shared" si="13"/>
        <v>0</v>
      </c>
      <c r="L107" s="25">
        <f t="shared" si="13"/>
        <v>0</v>
      </c>
      <c r="M107" s="25">
        <f t="shared" si="13"/>
        <v>0</v>
      </c>
      <c r="N107" s="25">
        <f t="shared" si="13"/>
        <v>0</v>
      </c>
      <c r="O107" s="25">
        <f t="shared" si="13"/>
        <v>0</v>
      </c>
      <c r="P107" s="25">
        <f t="shared" si="13"/>
        <v>0</v>
      </c>
      <c r="Q107" s="25">
        <f t="shared" si="13"/>
        <v>0</v>
      </c>
      <c r="R107" s="25">
        <f t="shared" si="13"/>
        <v>0</v>
      </c>
      <c r="S107" s="25">
        <f t="shared" si="13"/>
        <v>1565634</v>
      </c>
      <c r="T107" s="25">
        <f t="shared" si="13"/>
        <v>0</v>
      </c>
      <c r="U107" s="25">
        <f t="shared" si="13"/>
        <v>0</v>
      </c>
      <c r="V107" s="25">
        <f t="shared" si="13"/>
        <v>0</v>
      </c>
      <c r="W107" s="25">
        <f t="shared" si="13"/>
        <v>0</v>
      </c>
      <c r="X107" s="25">
        <f t="shared" si="13"/>
        <v>0</v>
      </c>
      <c r="Y107" s="25">
        <f t="shared" si="13"/>
        <v>0</v>
      </c>
      <c r="Z107" s="25">
        <f t="shared" si="13"/>
        <v>0</v>
      </c>
      <c r="AA107" s="25">
        <f t="shared" si="13"/>
        <v>0</v>
      </c>
      <c r="AB107" s="25">
        <f t="shared" si="13"/>
        <v>0</v>
      </c>
      <c r="AC107" s="25">
        <f t="shared" si="13"/>
        <v>0</v>
      </c>
      <c r="AD107" s="25">
        <f t="shared" si="13"/>
        <v>0</v>
      </c>
      <c r="AE107" s="25">
        <f t="shared" si="13"/>
        <v>0</v>
      </c>
      <c r="AF107" s="25">
        <f t="shared" si="13"/>
        <v>1565634</v>
      </c>
    </row>
    <row r="108" spans="1:32" ht="11.25">
      <c r="A108" s="9" t="s">
        <v>40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>
        <v>9609</v>
      </c>
      <c r="O108" s="9">
        <v>4829</v>
      </c>
      <c r="P108" s="9">
        <v>6751</v>
      </c>
      <c r="Q108" s="9">
        <v>10779</v>
      </c>
      <c r="R108" s="9">
        <v>6040</v>
      </c>
      <c r="S108" s="9">
        <v>4558</v>
      </c>
      <c r="T108" s="9">
        <v>6452</v>
      </c>
      <c r="U108" s="9">
        <v>2993</v>
      </c>
      <c r="V108" s="9">
        <v>5565</v>
      </c>
      <c r="W108" s="9">
        <v>4541</v>
      </c>
      <c r="X108" s="9">
        <v>681</v>
      </c>
      <c r="Y108" s="9"/>
      <c r="Z108" s="9"/>
      <c r="AA108" s="9"/>
      <c r="AB108" s="9"/>
      <c r="AC108" s="9"/>
      <c r="AD108" s="9"/>
      <c r="AE108" s="9"/>
      <c r="AF108" s="10">
        <f aca="true" t="shared" si="14" ref="AF108:AF133">SUM(B108:AE108)</f>
        <v>62798</v>
      </c>
    </row>
    <row r="109" spans="1:32" ht="11.25">
      <c r="A109" s="9" t="s">
        <v>41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>
        <v>2494469</v>
      </c>
      <c r="O109" s="9">
        <v>1460578</v>
      </c>
      <c r="P109" s="9">
        <v>3017528</v>
      </c>
      <c r="Q109" s="9">
        <v>2922098</v>
      </c>
      <c r="R109" s="9">
        <v>2035069</v>
      </c>
      <c r="S109" s="9">
        <v>767604</v>
      </c>
      <c r="T109" s="9">
        <v>1862708</v>
      </c>
      <c r="U109" s="9">
        <v>1016496</v>
      </c>
      <c r="V109" s="9">
        <v>1620838</v>
      </c>
      <c r="W109" s="9">
        <v>1977206</v>
      </c>
      <c r="X109" s="9">
        <v>412141</v>
      </c>
      <c r="Y109" s="9"/>
      <c r="Z109" s="9"/>
      <c r="AA109" s="9"/>
      <c r="AB109" s="9"/>
      <c r="AC109" s="9"/>
      <c r="AD109" s="9"/>
      <c r="AE109" s="9"/>
      <c r="AF109" s="10">
        <f t="shared" si="14"/>
        <v>19586735</v>
      </c>
    </row>
    <row r="110" spans="1:32" ht="11.25">
      <c r="A110" s="9" t="s">
        <v>42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>
        <v>183919</v>
      </c>
      <c r="O110" s="9">
        <v>117808</v>
      </c>
      <c r="P110" s="9">
        <v>240785</v>
      </c>
      <c r="Q110" s="9">
        <v>227800</v>
      </c>
      <c r="R110" s="9">
        <v>160672</v>
      </c>
      <c r="S110" s="9">
        <v>68796</v>
      </c>
      <c r="T110" s="9">
        <v>156400</v>
      </c>
      <c r="U110" s="9">
        <v>84687</v>
      </c>
      <c r="V110" s="9">
        <v>129954</v>
      </c>
      <c r="W110" s="9">
        <v>154993</v>
      </c>
      <c r="X110" s="9">
        <v>37718</v>
      </c>
      <c r="Y110" s="9"/>
      <c r="Z110" s="9"/>
      <c r="AA110" s="9"/>
      <c r="AB110" s="9"/>
      <c r="AC110" s="9"/>
      <c r="AD110" s="9"/>
      <c r="AE110" s="9"/>
      <c r="AF110" s="10">
        <f t="shared" si="14"/>
        <v>1563532</v>
      </c>
    </row>
    <row r="111" spans="1:32" ht="11.25">
      <c r="A111" s="9" t="s">
        <v>43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>
        <v>410017</v>
      </c>
      <c r="O111" s="9">
        <v>241759</v>
      </c>
      <c r="P111" s="9">
        <v>498725</v>
      </c>
      <c r="Q111" s="9">
        <v>482156</v>
      </c>
      <c r="R111" s="9">
        <v>336126</v>
      </c>
      <c r="S111" s="9">
        <v>128084</v>
      </c>
      <c r="T111" s="9">
        <v>309176</v>
      </c>
      <c r="U111" s="9">
        <v>168643</v>
      </c>
      <c r="V111" s="9">
        <v>268060</v>
      </c>
      <c r="W111" s="9">
        <v>326394</v>
      </c>
      <c r="X111" s="9">
        <v>68972</v>
      </c>
      <c r="Y111" s="9"/>
      <c r="Z111" s="9"/>
      <c r="AA111" s="9"/>
      <c r="AB111" s="9"/>
      <c r="AC111" s="9"/>
      <c r="AD111" s="9"/>
      <c r="AE111" s="9"/>
      <c r="AF111" s="10">
        <f t="shared" si="14"/>
        <v>3238112</v>
      </c>
    </row>
    <row r="112" spans="1:32" ht="11.25">
      <c r="A112" s="9" t="s">
        <v>44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>
        <v>65230</v>
      </c>
      <c r="O112" s="9">
        <v>38462</v>
      </c>
      <c r="P112" s="9">
        <v>79343</v>
      </c>
      <c r="Q112" s="9">
        <v>76707</v>
      </c>
      <c r="R112" s="9">
        <v>53475</v>
      </c>
      <c r="S112" s="9">
        <v>20377</v>
      </c>
      <c r="T112" s="9">
        <v>49187</v>
      </c>
      <c r="U112" s="9">
        <v>26830</v>
      </c>
      <c r="V112" s="9">
        <v>42646</v>
      </c>
      <c r="W112" s="9">
        <v>51924</v>
      </c>
      <c r="X112" s="9">
        <v>10973</v>
      </c>
      <c r="Y112" s="9"/>
      <c r="Z112" s="9"/>
      <c r="AA112" s="9"/>
      <c r="AB112" s="9"/>
      <c r="AC112" s="9"/>
      <c r="AD112" s="9"/>
      <c r="AE112" s="9"/>
      <c r="AF112" s="10">
        <f t="shared" si="14"/>
        <v>515154</v>
      </c>
    </row>
    <row r="113" spans="1:32" ht="11.25">
      <c r="A113" s="9" t="s">
        <v>45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>
        <v>7200</v>
      </c>
      <c r="O113" s="9">
        <v>0</v>
      </c>
      <c r="P113" s="9">
        <v>16000</v>
      </c>
      <c r="Q113" s="9">
        <v>25000</v>
      </c>
      <c r="R113" s="9">
        <v>6000</v>
      </c>
      <c r="S113" s="9">
        <v>0</v>
      </c>
      <c r="T113" s="9">
        <v>15000</v>
      </c>
      <c r="U113" s="9">
        <v>0</v>
      </c>
      <c r="V113" s="9">
        <v>6000</v>
      </c>
      <c r="W113" s="9">
        <v>0</v>
      </c>
      <c r="X113" s="9">
        <v>0</v>
      </c>
      <c r="Y113" s="9"/>
      <c r="Z113" s="9"/>
      <c r="AA113" s="9"/>
      <c r="AB113" s="9"/>
      <c r="AC113" s="9"/>
      <c r="AD113" s="9"/>
      <c r="AE113" s="9"/>
      <c r="AF113" s="10">
        <f t="shared" si="14"/>
        <v>75200</v>
      </c>
    </row>
    <row r="114" spans="1:32" ht="11.25">
      <c r="A114" s="9" t="s">
        <v>46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>
        <v>1000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7440</v>
      </c>
      <c r="U114" s="9">
        <v>0</v>
      </c>
      <c r="V114" s="9">
        <v>1500</v>
      </c>
      <c r="W114" s="9">
        <v>0</v>
      </c>
      <c r="X114" s="9">
        <v>0</v>
      </c>
      <c r="Y114" s="9"/>
      <c r="Z114" s="9"/>
      <c r="AA114" s="9"/>
      <c r="AB114" s="9"/>
      <c r="AC114" s="9"/>
      <c r="AD114" s="9"/>
      <c r="AE114" s="9"/>
      <c r="AF114" s="10">
        <f t="shared" si="14"/>
        <v>9940</v>
      </c>
    </row>
    <row r="115" spans="1:32" ht="11.25">
      <c r="A115" s="9" t="s">
        <v>47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>
        <f>16000+1500</f>
        <v>17500</v>
      </c>
      <c r="O115" s="9">
        <f>21786+300</f>
        <v>22086</v>
      </c>
      <c r="P115" s="9">
        <v>38268</v>
      </c>
      <c r="Q115" s="9">
        <f>29956+4000</f>
        <v>33956</v>
      </c>
      <c r="R115" s="9">
        <v>21172</v>
      </c>
      <c r="S115" s="9">
        <v>1000</v>
      </c>
      <c r="T115" s="9">
        <v>15740</v>
      </c>
      <c r="U115" s="9">
        <v>8008</v>
      </c>
      <c r="V115" s="9">
        <f>8000+3500</f>
        <v>11500</v>
      </c>
      <c r="W115" s="9">
        <f>17000+1500</f>
        <v>18500</v>
      </c>
      <c r="X115" s="9">
        <v>9528</v>
      </c>
      <c r="Y115" s="9"/>
      <c r="Z115" s="9"/>
      <c r="AA115" s="9"/>
      <c r="AB115" s="9"/>
      <c r="AC115" s="9"/>
      <c r="AD115" s="9"/>
      <c r="AE115" s="9"/>
      <c r="AF115" s="10">
        <f t="shared" si="14"/>
        <v>197258</v>
      </c>
    </row>
    <row r="116" spans="1:32" ht="11.25">
      <c r="A116" s="9" t="s">
        <v>48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>
        <v>200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10">
        <f t="shared" si="14"/>
        <v>200</v>
      </c>
    </row>
    <row r="117" spans="1:32" ht="11.25">
      <c r="A117" s="9" t="s">
        <v>49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>
        <v>4000</v>
      </c>
      <c r="O117" s="9">
        <f>4000+700</f>
        <v>4700</v>
      </c>
      <c r="P117" s="9">
        <f>14500+5000</f>
        <v>19500</v>
      </c>
      <c r="Q117" s="9">
        <v>3132</v>
      </c>
      <c r="R117" s="9">
        <v>3500</v>
      </c>
      <c r="S117" s="9">
        <v>1000</v>
      </c>
      <c r="T117" s="9">
        <v>3000</v>
      </c>
      <c r="U117" s="9">
        <v>0</v>
      </c>
      <c r="V117" s="9">
        <v>4000</v>
      </c>
      <c r="W117" s="9">
        <v>6000</v>
      </c>
      <c r="X117" s="9">
        <v>2000</v>
      </c>
      <c r="Y117" s="9"/>
      <c r="Z117" s="9"/>
      <c r="AA117" s="9"/>
      <c r="AB117" s="9"/>
      <c r="AC117" s="9"/>
      <c r="AD117" s="9"/>
      <c r="AE117" s="9"/>
      <c r="AF117" s="10">
        <f t="shared" si="14"/>
        <v>50832</v>
      </c>
    </row>
    <row r="118" spans="1:32" ht="11.25">
      <c r="A118" s="9" t="s">
        <v>50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>
        <v>208676</v>
      </c>
      <c r="O118" s="9">
        <v>62583</v>
      </c>
      <c r="P118" s="9">
        <v>264895</v>
      </c>
      <c r="Q118" s="9">
        <v>119000</v>
      </c>
      <c r="R118" s="9">
        <v>171512</v>
      </c>
      <c r="S118" s="9">
        <v>20000</v>
      </c>
      <c r="T118" s="9">
        <v>176750</v>
      </c>
      <c r="U118" s="9">
        <v>113493</v>
      </c>
      <c r="V118" s="9">
        <v>154073</v>
      </c>
      <c r="W118" s="9">
        <v>78939</v>
      </c>
      <c r="X118" s="9">
        <v>24943</v>
      </c>
      <c r="Y118" s="9"/>
      <c r="Z118" s="9"/>
      <c r="AA118" s="9"/>
      <c r="AB118" s="9"/>
      <c r="AC118" s="9"/>
      <c r="AD118" s="9"/>
      <c r="AE118" s="9"/>
      <c r="AF118" s="10">
        <f t="shared" si="14"/>
        <v>1394864</v>
      </c>
    </row>
    <row r="119" spans="1:32" ht="11.25">
      <c r="A119" s="9" t="s">
        <v>51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>
        <f>3500+100000</f>
        <v>103500</v>
      </c>
      <c r="O119" s="9">
        <v>0</v>
      </c>
      <c r="P119" s="9">
        <v>120000</v>
      </c>
      <c r="Q119" s="9">
        <v>125000</v>
      </c>
      <c r="R119" s="9">
        <f>1000+130000+2000</f>
        <v>133000</v>
      </c>
      <c r="S119" s="9">
        <v>80000</v>
      </c>
      <c r="T119" s="9">
        <f>1000+80000</f>
        <v>81000</v>
      </c>
      <c r="U119" s="9">
        <f>7000+90000</f>
        <v>97000</v>
      </c>
      <c r="V119" s="9">
        <f>1200+50000</f>
        <v>51200</v>
      </c>
      <c r="W119" s="9">
        <f>15000+130000</f>
        <v>145000</v>
      </c>
      <c r="X119" s="9">
        <v>0</v>
      </c>
      <c r="Y119" s="9"/>
      <c r="Z119" s="9"/>
      <c r="AA119" s="9"/>
      <c r="AB119" s="9"/>
      <c r="AC119" s="9"/>
      <c r="AD119" s="9"/>
      <c r="AE119" s="9"/>
      <c r="AF119" s="10">
        <f t="shared" si="14"/>
        <v>935700</v>
      </c>
    </row>
    <row r="120" spans="1:32" ht="11.25">
      <c r="A120" s="9" t="s">
        <v>52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>
        <v>3600</v>
      </c>
      <c r="O120" s="9">
        <v>3000</v>
      </c>
      <c r="P120" s="9">
        <v>3500</v>
      </c>
      <c r="Q120" s="9">
        <v>3000</v>
      </c>
      <c r="R120" s="9">
        <v>3000</v>
      </c>
      <c r="S120" s="9">
        <v>2500</v>
      </c>
      <c r="T120" s="9">
        <v>7000</v>
      </c>
      <c r="U120" s="9">
        <v>2500</v>
      </c>
      <c r="V120" s="9">
        <v>4000</v>
      </c>
      <c r="W120" s="9">
        <v>2500</v>
      </c>
      <c r="X120" s="9">
        <v>0</v>
      </c>
      <c r="Y120" s="9"/>
      <c r="Z120" s="9"/>
      <c r="AA120" s="9"/>
      <c r="AB120" s="9"/>
      <c r="AC120" s="9"/>
      <c r="AD120" s="9"/>
      <c r="AE120" s="9"/>
      <c r="AF120" s="10">
        <f t="shared" si="14"/>
        <v>34600</v>
      </c>
    </row>
    <row r="121" spans="1:32" ht="11.25">
      <c r="A121" s="9" t="s">
        <v>53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>
        <v>21060</v>
      </c>
      <c r="O121" s="9">
        <v>16707</v>
      </c>
      <c r="P121" s="9">
        <v>40000</v>
      </c>
      <c r="Q121" s="9">
        <v>76340</v>
      </c>
      <c r="R121" s="9">
        <v>28170</v>
      </c>
      <c r="S121" s="9">
        <v>2276</v>
      </c>
      <c r="T121" s="9">
        <v>15000</v>
      </c>
      <c r="U121" s="9">
        <v>6000</v>
      </c>
      <c r="V121" s="9">
        <v>13700</v>
      </c>
      <c r="W121" s="9">
        <v>12854</v>
      </c>
      <c r="X121" s="9">
        <v>15000</v>
      </c>
      <c r="Y121" s="9"/>
      <c r="Z121" s="9"/>
      <c r="AA121" s="9"/>
      <c r="AB121" s="9"/>
      <c r="AC121" s="9"/>
      <c r="AD121" s="9"/>
      <c r="AE121" s="9"/>
      <c r="AF121" s="10">
        <f t="shared" si="14"/>
        <v>247107</v>
      </c>
    </row>
    <row r="122" spans="1:32" ht="11.25">
      <c r="A122" s="9" t="s">
        <v>54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>
        <v>800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10">
        <f t="shared" si="14"/>
        <v>800</v>
      </c>
    </row>
    <row r="123" spans="1:32" ht="11.25">
      <c r="A123" s="9" t="s">
        <v>55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>
        <v>2040</v>
      </c>
      <c r="O123" s="9">
        <v>2500</v>
      </c>
      <c r="P123" s="9">
        <v>1500</v>
      </c>
      <c r="Q123" s="9">
        <v>1300</v>
      </c>
      <c r="R123" s="9">
        <v>1000</v>
      </c>
      <c r="S123" s="9">
        <v>0</v>
      </c>
      <c r="T123" s="9">
        <v>1400</v>
      </c>
      <c r="U123" s="9">
        <v>1500</v>
      </c>
      <c r="V123" s="9">
        <v>1000</v>
      </c>
      <c r="W123" s="9">
        <v>11420</v>
      </c>
      <c r="X123" s="9">
        <v>0</v>
      </c>
      <c r="Y123" s="9"/>
      <c r="Z123" s="9"/>
      <c r="AA123" s="9"/>
      <c r="AB123" s="9"/>
      <c r="AC123" s="9"/>
      <c r="AD123" s="9"/>
      <c r="AE123" s="9"/>
      <c r="AF123" s="10">
        <f t="shared" si="14"/>
        <v>23660</v>
      </c>
    </row>
    <row r="124" spans="1:32" ht="11.25">
      <c r="A124" s="9" t="s">
        <v>56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>
        <v>1200</v>
      </c>
      <c r="O124" s="9">
        <v>0</v>
      </c>
      <c r="P124" s="9">
        <v>800</v>
      </c>
      <c r="Q124" s="9">
        <v>0</v>
      </c>
      <c r="R124" s="9">
        <v>0</v>
      </c>
      <c r="S124" s="9">
        <v>0</v>
      </c>
      <c r="T124" s="9">
        <v>2000</v>
      </c>
      <c r="U124" s="9">
        <v>0</v>
      </c>
      <c r="V124" s="9">
        <v>0</v>
      </c>
      <c r="W124" s="9">
        <v>0</v>
      </c>
      <c r="X124" s="9">
        <v>0</v>
      </c>
      <c r="Y124" s="9"/>
      <c r="Z124" s="9"/>
      <c r="AA124" s="9"/>
      <c r="AB124" s="9"/>
      <c r="AC124" s="9"/>
      <c r="AD124" s="9"/>
      <c r="AE124" s="9"/>
      <c r="AF124" s="10">
        <f t="shared" si="14"/>
        <v>4000</v>
      </c>
    </row>
    <row r="125" spans="1:32" ht="11.25">
      <c r="A125" s="9" t="s">
        <v>57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>
        <v>3600</v>
      </c>
      <c r="O125" s="9">
        <v>6000</v>
      </c>
      <c r="P125" s="9">
        <v>6000</v>
      </c>
      <c r="Q125" s="9">
        <v>5000</v>
      </c>
      <c r="R125" s="9">
        <v>4500</v>
      </c>
      <c r="S125" s="9">
        <v>0</v>
      </c>
      <c r="T125" s="9">
        <v>9000</v>
      </c>
      <c r="U125" s="9">
        <v>6000</v>
      </c>
      <c r="V125" s="9">
        <v>7900</v>
      </c>
      <c r="W125" s="9">
        <v>4000</v>
      </c>
      <c r="X125" s="9">
        <v>0</v>
      </c>
      <c r="Y125" s="9"/>
      <c r="Z125" s="9"/>
      <c r="AA125" s="9"/>
      <c r="AB125" s="9"/>
      <c r="AC125" s="9"/>
      <c r="AD125" s="9"/>
      <c r="AE125" s="9"/>
      <c r="AF125" s="10">
        <f t="shared" si="14"/>
        <v>52000</v>
      </c>
    </row>
    <row r="126" spans="1:32" ht="11.25">
      <c r="A126" s="9" t="s">
        <v>58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>
        <v>1500</v>
      </c>
      <c r="O126" s="9">
        <v>0</v>
      </c>
      <c r="P126" s="9">
        <v>600</v>
      </c>
      <c r="Q126" s="9">
        <v>1000</v>
      </c>
      <c r="R126" s="9">
        <v>1500</v>
      </c>
      <c r="S126" s="9">
        <v>900</v>
      </c>
      <c r="T126" s="9">
        <v>4900</v>
      </c>
      <c r="U126" s="9">
        <v>1000</v>
      </c>
      <c r="V126" s="9">
        <v>1000</v>
      </c>
      <c r="W126" s="9">
        <v>0</v>
      </c>
      <c r="X126" s="9">
        <v>400</v>
      </c>
      <c r="Y126" s="9"/>
      <c r="Z126" s="9"/>
      <c r="AA126" s="9"/>
      <c r="AB126" s="9"/>
      <c r="AC126" s="9"/>
      <c r="AD126" s="9"/>
      <c r="AE126" s="9"/>
      <c r="AF126" s="10">
        <f t="shared" si="14"/>
        <v>12800</v>
      </c>
    </row>
    <row r="127" spans="1:32" ht="11.25">
      <c r="A127" s="9" t="s">
        <v>59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>
        <v>15735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10">
        <f t="shared" si="14"/>
        <v>15735</v>
      </c>
    </row>
    <row r="128" spans="1:32" ht="11.25">
      <c r="A128" s="9" t="s">
        <v>60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>
        <v>0</v>
      </c>
      <c r="O128" s="9">
        <v>0</v>
      </c>
      <c r="P128" s="9">
        <v>0</v>
      </c>
      <c r="Q128" s="9">
        <v>5000</v>
      </c>
      <c r="R128" s="9">
        <v>4800</v>
      </c>
      <c r="S128" s="9">
        <v>4500</v>
      </c>
      <c r="T128" s="9">
        <v>3700</v>
      </c>
      <c r="U128" s="9">
        <v>1500</v>
      </c>
      <c r="V128" s="9">
        <v>3500</v>
      </c>
      <c r="W128" s="9">
        <v>0</v>
      </c>
      <c r="X128" s="9">
        <v>0</v>
      </c>
      <c r="Y128" s="9"/>
      <c r="Z128" s="9"/>
      <c r="AA128" s="9"/>
      <c r="AB128" s="9"/>
      <c r="AC128" s="9"/>
      <c r="AD128" s="9"/>
      <c r="AE128" s="9"/>
      <c r="AF128" s="10">
        <f t="shared" si="14"/>
        <v>23000</v>
      </c>
    </row>
    <row r="129" spans="1:32" ht="11.25">
      <c r="A129" s="9" t="s">
        <v>61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>
        <v>155550</v>
      </c>
      <c r="O129" s="9">
        <v>79150</v>
      </c>
      <c r="P129" s="9">
        <v>172543</v>
      </c>
      <c r="Q129" s="9">
        <v>176838</v>
      </c>
      <c r="R129" s="9">
        <v>123708</v>
      </c>
      <c r="S129" s="9">
        <v>44548</v>
      </c>
      <c r="T129" s="9">
        <v>111551</v>
      </c>
      <c r="U129" s="9">
        <v>61990</v>
      </c>
      <c r="V129" s="9">
        <v>95250</v>
      </c>
      <c r="W129" s="9">
        <v>121019</v>
      </c>
      <c r="X129" s="9">
        <v>20734</v>
      </c>
      <c r="Y129" s="9"/>
      <c r="Z129" s="9"/>
      <c r="AA129" s="9"/>
      <c r="AB129" s="9"/>
      <c r="AC129" s="9"/>
      <c r="AD129" s="9"/>
      <c r="AE129" s="9"/>
      <c r="AF129" s="10">
        <f t="shared" si="14"/>
        <v>1162881</v>
      </c>
    </row>
    <row r="130" spans="1:32" ht="11.25">
      <c r="A130" s="9" t="s">
        <v>62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>
        <v>0</v>
      </c>
      <c r="O130" s="9">
        <v>0</v>
      </c>
      <c r="P130" s="9">
        <v>0</v>
      </c>
      <c r="Q130" s="9">
        <v>1000</v>
      </c>
      <c r="R130" s="9">
        <v>1000</v>
      </c>
      <c r="S130" s="9">
        <v>0</v>
      </c>
      <c r="T130" s="9">
        <v>1000</v>
      </c>
      <c r="U130" s="9">
        <v>200</v>
      </c>
      <c r="V130" s="9">
        <v>0</v>
      </c>
      <c r="W130" s="9">
        <v>0</v>
      </c>
      <c r="X130" s="9">
        <v>0</v>
      </c>
      <c r="Y130" s="9"/>
      <c r="Z130" s="9"/>
      <c r="AA130" s="9"/>
      <c r="AB130" s="9"/>
      <c r="AC130" s="9"/>
      <c r="AD130" s="9"/>
      <c r="AE130" s="9"/>
      <c r="AF130" s="10">
        <f t="shared" si="14"/>
        <v>3200</v>
      </c>
    </row>
    <row r="131" spans="1:32" ht="11.25">
      <c r="A131" s="9" t="s">
        <v>63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>
        <v>1200</v>
      </c>
      <c r="O131" s="9">
        <v>1000</v>
      </c>
      <c r="P131" s="9">
        <v>2000</v>
      </c>
      <c r="Q131" s="9">
        <v>1000</v>
      </c>
      <c r="R131" s="9">
        <v>1500</v>
      </c>
      <c r="S131" s="9">
        <v>0</v>
      </c>
      <c r="T131" s="9">
        <v>500</v>
      </c>
      <c r="U131" s="9">
        <v>2600</v>
      </c>
      <c r="V131" s="9">
        <v>600</v>
      </c>
      <c r="W131" s="9">
        <v>5000</v>
      </c>
      <c r="X131" s="9">
        <v>0</v>
      </c>
      <c r="Y131" s="9"/>
      <c r="Z131" s="9"/>
      <c r="AA131" s="9"/>
      <c r="AB131" s="9"/>
      <c r="AC131" s="9"/>
      <c r="AD131" s="9"/>
      <c r="AE131" s="9"/>
      <c r="AF131" s="10">
        <f t="shared" si="14"/>
        <v>15400</v>
      </c>
    </row>
    <row r="132" spans="1:32" ht="11.25">
      <c r="A132" s="9" t="s">
        <v>64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>
        <v>6000</v>
      </c>
      <c r="O132" s="9">
        <v>2162</v>
      </c>
      <c r="P132" s="9">
        <v>12000</v>
      </c>
      <c r="Q132" s="9">
        <v>2000</v>
      </c>
      <c r="R132" s="9">
        <v>2000</v>
      </c>
      <c r="S132" s="9">
        <v>0</v>
      </c>
      <c r="T132" s="9">
        <v>3500</v>
      </c>
      <c r="U132" s="9">
        <v>4500</v>
      </c>
      <c r="V132" s="9">
        <v>2000</v>
      </c>
      <c r="W132" s="9">
        <v>2000</v>
      </c>
      <c r="X132" s="9">
        <v>0</v>
      </c>
      <c r="Y132" s="9"/>
      <c r="Z132" s="9"/>
      <c r="AA132" s="9"/>
      <c r="AB132" s="9"/>
      <c r="AC132" s="9"/>
      <c r="AD132" s="9"/>
      <c r="AE132" s="9"/>
      <c r="AF132" s="10">
        <f t="shared" si="14"/>
        <v>36162</v>
      </c>
    </row>
    <row r="133" spans="1:32" ht="11.25" hidden="1">
      <c r="A133" s="9" t="s">
        <v>66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/>
      <c r="W133" s="9"/>
      <c r="X133" s="9">
        <v>0</v>
      </c>
      <c r="Y133" s="9"/>
      <c r="Z133" s="9"/>
      <c r="AA133" s="9"/>
      <c r="AB133" s="9"/>
      <c r="AC133" s="9"/>
      <c r="AD133" s="9"/>
      <c r="AE133" s="9"/>
      <c r="AF133" s="10">
        <f t="shared" si="14"/>
        <v>0</v>
      </c>
    </row>
    <row r="134" spans="1:32" s="27" customFormat="1" ht="11.25">
      <c r="A134" s="25" t="s">
        <v>121</v>
      </c>
      <c r="B134" s="25">
        <f aca="true" t="shared" si="15" ref="B134:AF134">SUM(B108:B133)</f>
        <v>0</v>
      </c>
      <c r="C134" s="25">
        <f t="shared" si="15"/>
        <v>0</v>
      </c>
      <c r="D134" s="25">
        <f t="shared" si="15"/>
        <v>0</v>
      </c>
      <c r="E134" s="25">
        <f t="shared" si="15"/>
        <v>0</v>
      </c>
      <c r="F134" s="25">
        <f t="shared" si="15"/>
        <v>0</v>
      </c>
      <c r="G134" s="25">
        <f t="shared" si="15"/>
        <v>0</v>
      </c>
      <c r="H134" s="25">
        <f t="shared" si="15"/>
        <v>0</v>
      </c>
      <c r="I134" s="25">
        <f t="shared" si="15"/>
        <v>0</v>
      </c>
      <c r="J134" s="25">
        <f t="shared" si="15"/>
        <v>0</v>
      </c>
      <c r="K134" s="25">
        <f t="shared" si="15"/>
        <v>0</v>
      </c>
      <c r="L134" s="25">
        <f t="shared" si="15"/>
        <v>0</v>
      </c>
      <c r="M134" s="25">
        <f t="shared" si="15"/>
        <v>0</v>
      </c>
      <c r="N134" s="25">
        <f t="shared" si="15"/>
        <v>3717605</v>
      </c>
      <c r="O134" s="25">
        <f t="shared" si="15"/>
        <v>2063324</v>
      </c>
      <c r="P134" s="25">
        <f t="shared" si="15"/>
        <v>4540738</v>
      </c>
      <c r="Q134" s="25">
        <f t="shared" si="15"/>
        <v>4298106</v>
      </c>
      <c r="R134" s="25">
        <f t="shared" si="15"/>
        <v>3097744</v>
      </c>
      <c r="S134" s="25">
        <f t="shared" si="15"/>
        <v>1146143</v>
      </c>
      <c r="T134" s="25">
        <f t="shared" si="15"/>
        <v>2842404</v>
      </c>
      <c r="U134" s="25">
        <f t="shared" si="15"/>
        <v>1605940</v>
      </c>
      <c r="V134" s="25">
        <f t="shared" si="15"/>
        <v>2424286</v>
      </c>
      <c r="W134" s="25">
        <f t="shared" si="15"/>
        <v>2922290</v>
      </c>
      <c r="X134" s="25">
        <f t="shared" si="15"/>
        <v>603090</v>
      </c>
      <c r="Y134" s="25">
        <f t="shared" si="15"/>
        <v>0</v>
      </c>
      <c r="Z134" s="25">
        <f t="shared" si="15"/>
        <v>0</v>
      </c>
      <c r="AA134" s="25">
        <f t="shared" si="15"/>
        <v>0</v>
      </c>
      <c r="AB134" s="25">
        <f t="shared" si="15"/>
        <v>0</v>
      </c>
      <c r="AC134" s="25">
        <f t="shared" si="15"/>
        <v>0</v>
      </c>
      <c r="AD134" s="25">
        <f t="shared" si="15"/>
        <v>0</v>
      </c>
      <c r="AE134" s="25">
        <f t="shared" si="15"/>
        <v>0</v>
      </c>
      <c r="AF134" s="25">
        <f t="shared" si="15"/>
        <v>29261670</v>
      </c>
    </row>
    <row r="135" spans="1:32" ht="11.25">
      <c r="A135" s="9" t="s">
        <v>40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>
        <v>7248</v>
      </c>
      <c r="Z135" s="9"/>
      <c r="AA135" s="9"/>
      <c r="AB135" s="9"/>
      <c r="AC135" s="9"/>
      <c r="AD135" s="9"/>
      <c r="AE135" s="9"/>
      <c r="AF135" s="10">
        <f aca="true" t="shared" si="16" ref="AF135:AF153">SUM(B135:AE135)</f>
        <v>7248</v>
      </c>
    </row>
    <row r="136" spans="1:32" ht="11.25">
      <c r="A136" s="9" t="s">
        <v>41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>
        <v>2333595</v>
      </c>
      <c r="Z136" s="9"/>
      <c r="AA136" s="9"/>
      <c r="AB136" s="9"/>
      <c r="AC136" s="9"/>
      <c r="AD136" s="9"/>
      <c r="AE136" s="9"/>
      <c r="AF136" s="10">
        <f t="shared" si="16"/>
        <v>2333595</v>
      </c>
    </row>
    <row r="137" spans="1:32" ht="11.25">
      <c r="A137" s="9" t="s">
        <v>42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>
        <v>180484</v>
      </c>
      <c r="Z137" s="9"/>
      <c r="AA137" s="9"/>
      <c r="AB137" s="9"/>
      <c r="AC137" s="9"/>
      <c r="AD137" s="9"/>
      <c r="AE137" s="9"/>
      <c r="AF137" s="10">
        <f t="shared" si="16"/>
        <v>180484</v>
      </c>
    </row>
    <row r="138" spans="1:32" ht="11.25">
      <c r="A138" s="9" t="s">
        <v>43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>
        <v>384749</v>
      </c>
      <c r="Z138" s="9"/>
      <c r="AA138" s="9"/>
      <c r="AB138" s="9"/>
      <c r="AC138" s="9"/>
      <c r="AD138" s="9"/>
      <c r="AE138" s="9"/>
      <c r="AF138" s="10">
        <f t="shared" si="16"/>
        <v>384749</v>
      </c>
    </row>
    <row r="139" spans="1:32" ht="11.25">
      <c r="A139" s="9" t="s">
        <v>44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>
        <v>61210</v>
      </c>
      <c r="Z139" s="9"/>
      <c r="AA139" s="9"/>
      <c r="AB139" s="9"/>
      <c r="AC139" s="9"/>
      <c r="AD139" s="9"/>
      <c r="AE139" s="9"/>
      <c r="AF139" s="10">
        <f t="shared" si="16"/>
        <v>61210</v>
      </c>
    </row>
    <row r="140" spans="1:32" ht="11.25">
      <c r="A140" s="9" t="s">
        <v>46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>
        <v>10000</v>
      </c>
      <c r="Z140" s="9"/>
      <c r="AA140" s="9"/>
      <c r="AB140" s="9"/>
      <c r="AC140" s="9"/>
      <c r="AD140" s="9"/>
      <c r="AE140" s="9"/>
      <c r="AF140" s="10">
        <f t="shared" si="16"/>
        <v>10000</v>
      </c>
    </row>
    <row r="141" spans="1:32" ht="11.25">
      <c r="A141" s="9" t="s">
        <v>47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>
        <f>9072+1000</f>
        <v>10072</v>
      </c>
      <c r="Z141" s="9"/>
      <c r="AA141" s="9"/>
      <c r="AB141" s="9"/>
      <c r="AC141" s="9"/>
      <c r="AD141" s="9"/>
      <c r="AE141" s="9"/>
      <c r="AF141" s="10">
        <f t="shared" si="16"/>
        <v>10072</v>
      </c>
    </row>
    <row r="142" spans="1:32" ht="11.25">
      <c r="A142" s="9" t="s">
        <v>49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>
        <v>5500</v>
      </c>
      <c r="Z142" s="9"/>
      <c r="AA142" s="9"/>
      <c r="AB142" s="9"/>
      <c r="AC142" s="9"/>
      <c r="AD142" s="9"/>
      <c r="AE142" s="9"/>
      <c r="AF142" s="10">
        <f t="shared" si="16"/>
        <v>5500</v>
      </c>
    </row>
    <row r="143" spans="1:32" ht="11.25">
      <c r="A143" s="9" t="s">
        <v>50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>
        <v>51996</v>
      </c>
      <c r="Z143" s="9"/>
      <c r="AA143" s="9"/>
      <c r="AB143" s="9"/>
      <c r="AC143" s="9"/>
      <c r="AD143" s="9"/>
      <c r="AE143" s="9"/>
      <c r="AF143" s="10">
        <f t="shared" si="16"/>
        <v>51996</v>
      </c>
    </row>
    <row r="144" spans="1:32" ht="11.25">
      <c r="A144" s="9" t="s">
        <v>51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>
        <v>3500</v>
      </c>
      <c r="Z144" s="9"/>
      <c r="AA144" s="9"/>
      <c r="AB144" s="9"/>
      <c r="AC144" s="9"/>
      <c r="AD144" s="9"/>
      <c r="AE144" s="9"/>
      <c r="AF144" s="10">
        <f t="shared" si="16"/>
        <v>3500</v>
      </c>
    </row>
    <row r="145" spans="1:32" ht="11.25">
      <c r="A145" s="9" t="s">
        <v>52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>
        <v>3700</v>
      </c>
      <c r="Z145" s="9"/>
      <c r="AA145" s="9"/>
      <c r="AB145" s="9"/>
      <c r="AC145" s="9"/>
      <c r="AD145" s="9"/>
      <c r="AE145" s="9"/>
      <c r="AF145" s="10">
        <f t="shared" si="16"/>
        <v>3700</v>
      </c>
    </row>
    <row r="146" spans="1:32" ht="11.25">
      <c r="A146" s="9" t="s">
        <v>53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>
        <v>14400</v>
      </c>
      <c r="Z146" s="9"/>
      <c r="AA146" s="9"/>
      <c r="AB146" s="9"/>
      <c r="AC146" s="9"/>
      <c r="AD146" s="9"/>
      <c r="AE146" s="9"/>
      <c r="AF146" s="10">
        <f t="shared" si="16"/>
        <v>14400</v>
      </c>
    </row>
    <row r="147" spans="1:32" ht="11.25">
      <c r="A147" s="9" t="s">
        <v>55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>
        <v>800</v>
      </c>
      <c r="Z147" s="9"/>
      <c r="AA147" s="9"/>
      <c r="AB147" s="9"/>
      <c r="AC147" s="9"/>
      <c r="AD147" s="9"/>
      <c r="AE147" s="9"/>
      <c r="AF147" s="10">
        <f t="shared" si="16"/>
        <v>800</v>
      </c>
    </row>
    <row r="148" spans="1:32" ht="11.25">
      <c r="A148" s="9" t="s">
        <v>57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>
        <v>4800</v>
      </c>
      <c r="Z148" s="9"/>
      <c r="AA148" s="9"/>
      <c r="AB148" s="9"/>
      <c r="AC148" s="9"/>
      <c r="AD148" s="9"/>
      <c r="AE148" s="9"/>
      <c r="AF148" s="10">
        <f t="shared" si="16"/>
        <v>4800</v>
      </c>
    </row>
    <row r="149" spans="1:32" ht="11.25">
      <c r="A149" s="9" t="s">
        <v>58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>
        <v>2000</v>
      </c>
      <c r="Z149" s="9"/>
      <c r="AA149" s="9"/>
      <c r="AB149" s="9"/>
      <c r="AC149" s="9"/>
      <c r="AD149" s="9"/>
      <c r="AE149" s="9"/>
      <c r="AF149" s="10">
        <f t="shared" si="16"/>
        <v>2000</v>
      </c>
    </row>
    <row r="150" spans="1:32" ht="11.25">
      <c r="A150" s="9" t="s">
        <v>60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>
        <v>3500</v>
      </c>
      <c r="Z150" s="9"/>
      <c r="AA150" s="9"/>
      <c r="AB150" s="9"/>
      <c r="AC150" s="9"/>
      <c r="AD150" s="9"/>
      <c r="AE150" s="9"/>
      <c r="AF150" s="10">
        <f t="shared" si="16"/>
        <v>3500</v>
      </c>
    </row>
    <row r="151" spans="1:32" ht="11.25">
      <c r="A151" s="9" t="s">
        <v>61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>
        <v>144744</v>
      </c>
      <c r="Z151" s="9"/>
      <c r="AA151" s="9"/>
      <c r="AB151" s="9"/>
      <c r="AC151" s="9"/>
      <c r="AD151" s="9"/>
      <c r="AE151" s="9"/>
      <c r="AF151" s="10">
        <f t="shared" si="16"/>
        <v>144744</v>
      </c>
    </row>
    <row r="152" spans="1:32" ht="11.25">
      <c r="A152" s="9" t="s">
        <v>62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>
        <v>800</v>
      </c>
      <c r="Z152" s="9"/>
      <c r="AA152" s="9"/>
      <c r="AB152" s="9"/>
      <c r="AC152" s="9"/>
      <c r="AD152" s="9"/>
      <c r="AE152" s="9"/>
      <c r="AF152" s="10">
        <f t="shared" si="16"/>
        <v>800</v>
      </c>
    </row>
    <row r="153" spans="1:32" ht="11.25">
      <c r="A153" s="9" t="s">
        <v>63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>
        <v>500</v>
      </c>
      <c r="Z153" s="9"/>
      <c r="AA153" s="9"/>
      <c r="AB153" s="9"/>
      <c r="AC153" s="9"/>
      <c r="AD153" s="9"/>
      <c r="AE153" s="9"/>
      <c r="AF153" s="10">
        <f t="shared" si="16"/>
        <v>500</v>
      </c>
    </row>
    <row r="154" spans="1:32" s="27" customFormat="1" ht="11.25">
      <c r="A154" s="25" t="s">
        <v>122</v>
      </c>
      <c r="B154" s="25">
        <f aca="true" t="shared" si="17" ref="B154:AF154">SUM(B135:B153)</f>
        <v>0</v>
      </c>
      <c r="C154" s="25">
        <f t="shared" si="17"/>
        <v>0</v>
      </c>
      <c r="D154" s="25">
        <f t="shared" si="17"/>
        <v>0</v>
      </c>
      <c r="E154" s="25">
        <f t="shared" si="17"/>
        <v>0</v>
      </c>
      <c r="F154" s="25">
        <f t="shared" si="17"/>
        <v>0</v>
      </c>
      <c r="G154" s="25">
        <f t="shared" si="17"/>
        <v>0</v>
      </c>
      <c r="H154" s="25">
        <f t="shared" si="17"/>
        <v>0</v>
      </c>
      <c r="I154" s="25">
        <f t="shared" si="17"/>
        <v>0</v>
      </c>
      <c r="J154" s="25">
        <f t="shared" si="17"/>
        <v>0</v>
      </c>
      <c r="K154" s="25">
        <f t="shared" si="17"/>
        <v>0</v>
      </c>
      <c r="L154" s="25">
        <f t="shared" si="17"/>
        <v>0</v>
      </c>
      <c r="M154" s="25">
        <f t="shared" si="17"/>
        <v>0</v>
      </c>
      <c r="N154" s="25">
        <f t="shared" si="17"/>
        <v>0</v>
      </c>
      <c r="O154" s="25">
        <f t="shared" si="17"/>
        <v>0</v>
      </c>
      <c r="P154" s="25">
        <f t="shared" si="17"/>
        <v>0</v>
      </c>
      <c r="Q154" s="25">
        <f t="shared" si="17"/>
        <v>0</v>
      </c>
      <c r="R154" s="25">
        <f t="shared" si="17"/>
        <v>0</v>
      </c>
      <c r="S154" s="25">
        <f t="shared" si="17"/>
        <v>0</v>
      </c>
      <c r="T154" s="25">
        <f t="shared" si="17"/>
        <v>0</v>
      </c>
      <c r="U154" s="25">
        <f t="shared" si="17"/>
        <v>0</v>
      </c>
      <c r="V154" s="25">
        <f t="shared" si="17"/>
        <v>0</v>
      </c>
      <c r="W154" s="25">
        <f t="shared" si="17"/>
        <v>0</v>
      </c>
      <c r="X154" s="25">
        <f t="shared" si="17"/>
        <v>0</v>
      </c>
      <c r="Y154" s="25">
        <f t="shared" si="17"/>
        <v>3223598</v>
      </c>
      <c r="Z154" s="25">
        <f t="shared" si="17"/>
        <v>0</v>
      </c>
      <c r="AA154" s="25">
        <f t="shared" si="17"/>
        <v>0</v>
      </c>
      <c r="AB154" s="25">
        <f t="shared" si="17"/>
        <v>0</v>
      </c>
      <c r="AC154" s="25">
        <f t="shared" si="17"/>
        <v>0</v>
      </c>
      <c r="AD154" s="25">
        <f t="shared" si="17"/>
        <v>0</v>
      </c>
      <c r="AE154" s="25">
        <f t="shared" si="17"/>
        <v>0</v>
      </c>
      <c r="AF154" s="25">
        <f t="shared" si="17"/>
        <v>3223598</v>
      </c>
    </row>
    <row r="155" spans="1:32" ht="11.25">
      <c r="A155" s="9" t="s">
        <v>40</v>
      </c>
      <c r="B155" s="9"/>
      <c r="C155" s="9">
        <v>1649</v>
      </c>
      <c r="D155" s="9">
        <v>1710</v>
      </c>
      <c r="E155" s="9">
        <v>1313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10">
        <f aca="true" t="shared" si="18" ref="AF155:AF173">SUM(B155:AE155)</f>
        <v>4672</v>
      </c>
    </row>
    <row r="156" spans="1:32" ht="11.25">
      <c r="A156" s="9" t="s">
        <v>41</v>
      </c>
      <c r="B156" s="9"/>
      <c r="C156" s="9">
        <v>744081</v>
      </c>
      <c r="D156" s="9">
        <v>756936</v>
      </c>
      <c r="E156" s="9">
        <v>627779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10">
        <f t="shared" si="18"/>
        <v>2128796</v>
      </c>
    </row>
    <row r="157" spans="1:32" ht="11.25">
      <c r="A157" s="9" t="s">
        <v>42</v>
      </c>
      <c r="B157" s="9"/>
      <c r="C157" s="9">
        <v>72794</v>
      </c>
      <c r="D157" s="9">
        <v>53240</v>
      </c>
      <c r="E157" s="9">
        <v>53501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10">
        <f t="shared" si="18"/>
        <v>179535</v>
      </c>
    </row>
    <row r="158" spans="1:32" ht="11.25">
      <c r="A158" s="9" t="s">
        <v>43</v>
      </c>
      <c r="B158" s="9"/>
      <c r="C158" s="9">
        <v>124889</v>
      </c>
      <c r="D158" s="9">
        <v>123889</v>
      </c>
      <c r="E158" s="9">
        <v>104414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10">
        <f t="shared" si="18"/>
        <v>353192</v>
      </c>
    </row>
    <row r="159" spans="1:32" ht="11.25">
      <c r="A159" s="9" t="s">
        <v>44</v>
      </c>
      <c r="B159" s="9"/>
      <c r="C159" s="9">
        <v>19869</v>
      </c>
      <c r="D159" s="9">
        <v>19710</v>
      </c>
      <c r="E159" s="9">
        <v>16611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10">
        <f t="shared" si="18"/>
        <v>56190</v>
      </c>
    </row>
    <row r="160" spans="1:32" ht="11.25">
      <c r="A160" s="9" t="s">
        <v>47</v>
      </c>
      <c r="B160" s="9"/>
      <c r="C160" s="9">
        <v>2500</v>
      </c>
      <c r="D160" s="9">
        <v>3000</v>
      </c>
      <c r="E160" s="9">
        <v>1021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10">
        <f t="shared" si="18"/>
        <v>6521</v>
      </c>
    </row>
    <row r="161" spans="1:32" ht="11.25">
      <c r="A161" s="9" t="s">
        <v>49</v>
      </c>
      <c r="B161" s="9"/>
      <c r="C161" s="9">
        <v>1500</v>
      </c>
      <c r="D161" s="9">
        <v>300</v>
      </c>
      <c r="E161" s="9">
        <v>239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10">
        <f t="shared" si="18"/>
        <v>2039</v>
      </c>
    </row>
    <row r="162" spans="1:32" ht="11.25">
      <c r="A162" s="9" t="s">
        <v>50</v>
      </c>
      <c r="B162" s="9"/>
      <c r="C162" s="9">
        <v>13000</v>
      </c>
      <c r="D162" s="9">
        <v>548</v>
      </c>
      <c r="E162" s="9">
        <v>40617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10">
        <f t="shared" si="18"/>
        <v>54165</v>
      </c>
    </row>
    <row r="163" spans="1:32" ht="11.25">
      <c r="A163" s="9" t="s">
        <v>51</v>
      </c>
      <c r="B163" s="9"/>
      <c r="C163" s="9">
        <v>1000</v>
      </c>
      <c r="D163" s="9">
        <v>0</v>
      </c>
      <c r="E163" s="9">
        <v>400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10">
        <f t="shared" si="18"/>
        <v>1400</v>
      </c>
    </row>
    <row r="164" spans="1:32" ht="11.25">
      <c r="A164" s="9" t="s">
        <v>52</v>
      </c>
      <c r="B164" s="9"/>
      <c r="C164" s="9">
        <v>0</v>
      </c>
      <c r="D164" s="9">
        <v>0</v>
      </c>
      <c r="E164" s="9">
        <v>1200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10">
        <f t="shared" si="18"/>
        <v>1200</v>
      </c>
    </row>
    <row r="165" spans="1:32" ht="11.25">
      <c r="A165" s="9" t="s">
        <v>53</v>
      </c>
      <c r="B165" s="9"/>
      <c r="C165" s="9">
        <v>2080</v>
      </c>
      <c r="D165" s="9">
        <v>3000</v>
      </c>
      <c r="E165" s="9">
        <v>1000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10">
        <f t="shared" si="18"/>
        <v>6080</v>
      </c>
    </row>
    <row r="166" spans="1:32" ht="11.25">
      <c r="A166" s="9" t="s">
        <v>55</v>
      </c>
      <c r="B166" s="9"/>
      <c r="C166" s="9">
        <v>0</v>
      </c>
      <c r="D166" s="9">
        <v>0</v>
      </c>
      <c r="E166" s="9">
        <v>240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10">
        <f t="shared" si="18"/>
        <v>240</v>
      </c>
    </row>
    <row r="167" spans="1:32" ht="11.25" hidden="1">
      <c r="A167" s="9" t="s">
        <v>56</v>
      </c>
      <c r="B167" s="9"/>
      <c r="C167" s="9">
        <v>0</v>
      </c>
      <c r="D167" s="9">
        <v>0</v>
      </c>
      <c r="E167" s="9">
        <v>0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10">
        <f t="shared" si="18"/>
        <v>0</v>
      </c>
    </row>
    <row r="168" spans="1:32" ht="11.25">
      <c r="A168" s="9" t="s">
        <v>57</v>
      </c>
      <c r="B168" s="9"/>
      <c r="C168" s="9">
        <v>0</v>
      </c>
      <c r="D168" s="9">
        <v>0</v>
      </c>
      <c r="E168" s="9">
        <v>480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10">
        <f t="shared" si="18"/>
        <v>480</v>
      </c>
    </row>
    <row r="169" spans="1:32" ht="11.25">
      <c r="A169" s="9" t="s">
        <v>58</v>
      </c>
      <c r="B169" s="9"/>
      <c r="C169" s="9">
        <v>0</v>
      </c>
      <c r="D169" s="9">
        <v>0</v>
      </c>
      <c r="E169" s="9">
        <v>200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10">
        <f t="shared" si="18"/>
        <v>200</v>
      </c>
    </row>
    <row r="170" spans="1:32" ht="11.25">
      <c r="A170" s="9" t="s">
        <v>60</v>
      </c>
      <c r="B170" s="9"/>
      <c r="C170" s="9">
        <v>0</v>
      </c>
      <c r="D170" s="9">
        <v>0</v>
      </c>
      <c r="E170" s="9">
        <v>250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10">
        <f t="shared" si="18"/>
        <v>250</v>
      </c>
    </row>
    <row r="171" spans="1:32" ht="11.25">
      <c r="A171" s="9" t="s">
        <v>61</v>
      </c>
      <c r="B171" s="9"/>
      <c r="C171" s="9">
        <v>35611</v>
      </c>
      <c r="D171" s="9">
        <v>40080</v>
      </c>
      <c r="E171" s="9">
        <v>30218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10">
        <f t="shared" si="18"/>
        <v>105909</v>
      </c>
    </row>
    <row r="172" spans="1:32" ht="11.25">
      <c r="A172" s="9" t="s">
        <v>62</v>
      </c>
      <c r="B172" s="9"/>
      <c r="C172" s="9">
        <v>0</v>
      </c>
      <c r="D172" s="9">
        <v>0</v>
      </c>
      <c r="E172" s="9">
        <v>1000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10">
        <f t="shared" si="18"/>
        <v>1000</v>
      </c>
    </row>
    <row r="173" spans="1:32" ht="11.25">
      <c r="A173" s="9" t="s">
        <v>63</v>
      </c>
      <c r="B173" s="9"/>
      <c r="C173" s="9">
        <v>0</v>
      </c>
      <c r="D173" s="9">
        <v>0</v>
      </c>
      <c r="E173" s="9">
        <v>150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10">
        <f t="shared" si="18"/>
        <v>150</v>
      </c>
    </row>
    <row r="174" spans="1:32" s="27" customFormat="1" ht="11.25">
      <c r="A174" s="25" t="s">
        <v>123</v>
      </c>
      <c r="B174" s="25">
        <f aca="true" t="shared" si="19" ref="B174:AF174">SUM(B155:B173)</f>
        <v>0</v>
      </c>
      <c r="C174" s="25">
        <f t="shared" si="19"/>
        <v>1018973</v>
      </c>
      <c r="D174" s="25">
        <f t="shared" si="19"/>
        <v>1002413</v>
      </c>
      <c r="E174" s="25">
        <f t="shared" si="19"/>
        <v>880633</v>
      </c>
      <c r="F174" s="25">
        <f t="shared" si="19"/>
        <v>0</v>
      </c>
      <c r="G174" s="25">
        <f t="shared" si="19"/>
        <v>0</v>
      </c>
      <c r="H174" s="25">
        <f t="shared" si="19"/>
        <v>0</v>
      </c>
      <c r="I174" s="25">
        <f t="shared" si="19"/>
        <v>0</v>
      </c>
      <c r="J174" s="25">
        <f t="shared" si="19"/>
        <v>0</v>
      </c>
      <c r="K174" s="25">
        <f t="shared" si="19"/>
        <v>0</v>
      </c>
      <c r="L174" s="25">
        <f t="shared" si="19"/>
        <v>0</v>
      </c>
      <c r="M174" s="25">
        <f t="shared" si="19"/>
        <v>0</v>
      </c>
      <c r="N174" s="25">
        <f t="shared" si="19"/>
        <v>0</v>
      </c>
      <c r="O174" s="25">
        <f t="shared" si="19"/>
        <v>0</v>
      </c>
      <c r="P174" s="25">
        <f t="shared" si="19"/>
        <v>0</v>
      </c>
      <c r="Q174" s="25">
        <f t="shared" si="19"/>
        <v>0</v>
      </c>
      <c r="R174" s="25">
        <f t="shared" si="19"/>
        <v>0</v>
      </c>
      <c r="S174" s="25">
        <f t="shared" si="19"/>
        <v>0</v>
      </c>
      <c r="T174" s="25">
        <f t="shared" si="19"/>
        <v>0</v>
      </c>
      <c r="U174" s="25">
        <f t="shared" si="19"/>
        <v>0</v>
      </c>
      <c r="V174" s="25">
        <f t="shared" si="19"/>
        <v>0</v>
      </c>
      <c r="W174" s="25">
        <f t="shared" si="19"/>
        <v>0</v>
      </c>
      <c r="X174" s="25">
        <f t="shared" si="19"/>
        <v>0</v>
      </c>
      <c r="Y174" s="25">
        <f t="shared" si="19"/>
        <v>0</v>
      </c>
      <c r="Z174" s="25">
        <f t="shared" si="19"/>
        <v>0</v>
      </c>
      <c r="AA174" s="25">
        <f t="shared" si="19"/>
        <v>0</v>
      </c>
      <c r="AB174" s="25">
        <f t="shared" si="19"/>
        <v>0</v>
      </c>
      <c r="AC174" s="25">
        <f t="shared" si="19"/>
        <v>0</v>
      </c>
      <c r="AD174" s="25">
        <f t="shared" si="19"/>
        <v>0</v>
      </c>
      <c r="AE174" s="25">
        <f t="shared" si="19"/>
        <v>0</v>
      </c>
      <c r="AF174" s="25">
        <f t="shared" si="19"/>
        <v>2902019</v>
      </c>
    </row>
    <row r="175" spans="1:32" ht="11.25">
      <c r="A175" s="9" t="s">
        <v>40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>
        <v>305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10">
        <f aca="true" t="shared" si="20" ref="AF175:AF183">SUM(B175:AE175)</f>
        <v>305</v>
      </c>
    </row>
    <row r="176" spans="1:32" ht="11.25">
      <c r="A176" s="9" t="s">
        <v>41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>
        <v>64270</v>
      </c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10">
        <f t="shared" si="20"/>
        <v>64270</v>
      </c>
    </row>
    <row r="177" spans="1:32" ht="11.25">
      <c r="A177" s="9" t="s">
        <v>43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>
        <v>9819</v>
      </c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10">
        <f t="shared" si="20"/>
        <v>9819</v>
      </c>
    </row>
    <row r="178" spans="1:32" ht="11.25">
      <c r="A178" s="9" t="s">
        <v>44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>
        <v>1562</v>
      </c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10">
        <f t="shared" si="20"/>
        <v>1562</v>
      </c>
    </row>
    <row r="179" spans="1:32" ht="11.25">
      <c r="A179" s="9" t="s">
        <v>47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>
        <v>1100</v>
      </c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10">
        <f t="shared" si="20"/>
        <v>1100</v>
      </c>
    </row>
    <row r="180" spans="1:32" ht="11.25">
      <c r="A180" s="9" t="s">
        <v>49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>
        <v>216</v>
      </c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10">
        <f t="shared" si="20"/>
        <v>216</v>
      </c>
    </row>
    <row r="181" spans="1:32" ht="11.25">
      <c r="A181" s="9" t="s">
        <v>50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>
        <v>22152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10">
        <f t="shared" si="20"/>
        <v>22152</v>
      </c>
    </row>
    <row r="182" spans="1:32" ht="11.25">
      <c r="A182" s="9" t="s">
        <v>53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>
        <v>600</v>
      </c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10">
        <f t="shared" si="20"/>
        <v>600</v>
      </c>
    </row>
    <row r="183" spans="1:32" ht="11.25">
      <c r="A183" s="9" t="s">
        <v>61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>
        <v>4877</v>
      </c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10">
        <f t="shared" si="20"/>
        <v>4877</v>
      </c>
    </row>
    <row r="184" spans="1:32" s="27" customFormat="1" ht="11.25">
      <c r="A184" s="25" t="s">
        <v>124</v>
      </c>
      <c r="B184" s="25">
        <f aca="true" t="shared" si="21" ref="B184:AF184">SUM(B175:B183)</f>
        <v>0</v>
      </c>
      <c r="C184" s="25">
        <f t="shared" si="21"/>
        <v>0</v>
      </c>
      <c r="D184" s="25">
        <f t="shared" si="21"/>
        <v>0</v>
      </c>
      <c r="E184" s="25">
        <f t="shared" si="21"/>
        <v>0</v>
      </c>
      <c r="F184" s="25">
        <f t="shared" si="21"/>
        <v>0</v>
      </c>
      <c r="G184" s="25">
        <f t="shared" si="21"/>
        <v>0</v>
      </c>
      <c r="H184" s="25">
        <f t="shared" si="21"/>
        <v>0</v>
      </c>
      <c r="I184" s="25">
        <f t="shared" si="21"/>
        <v>0</v>
      </c>
      <c r="J184" s="25">
        <f t="shared" si="21"/>
        <v>0</v>
      </c>
      <c r="K184" s="25">
        <f t="shared" si="21"/>
        <v>0</v>
      </c>
      <c r="L184" s="25">
        <f t="shared" si="21"/>
        <v>0</v>
      </c>
      <c r="M184" s="25">
        <f t="shared" si="21"/>
        <v>0</v>
      </c>
      <c r="N184" s="25">
        <f t="shared" si="21"/>
        <v>0</v>
      </c>
      <c r="O184" s="25">
        <f t="shared" si="21"/>
        <v>0</v>
      </c>
      <c r="P184" s="25">
        <f t="shared" si="21"/>
        <v>0</v>
      </c>
      <c r="Q184" s="25">
        <f t="shared" si="21"/>
        <v>0</v>
      </c>
      <c r="R184" s="25">
        <f t="shared" si="21"/>
        <v>0</v>
      </c>
      <c r="S184" s="25">
        <f t="shared" si="21"/>
        <v>0</v>
      </c>
      <c r="T184" s="25">
        <f t="shared" si="21"/>
        <v>104901</v>
      </c>
      <c r="U184" s="25">
        <f t="shared" si="21"/>
        <v>0</v>
      </c>
      <c r="V184" s="25">
        <f t="shared" si="21"/>
        <v>0</v>
      </c>
      <c r="W184" s="25">
        <f t="shared" si="21"/>
        <v>0</v>
      </c>
      <c r="X184" s="25">
        <f t="shared" si="21"/>
        <v>0</v>
      </c>
      <c r="Y184" s="25">
        <f t="shared" si="21"/>
        <v>0</v>
      </c>
      <c r="Z184" s="25">
        <f t="shared" si="21"/>
        <v>0</v>
      </c>
      <c r="AA184" s="25">
        <f t="shared" si="21"/>
        <v>0</v>
      </c>
      <c r="AB184" s="25">
        <f t="shared" si="21"/>
        <v>0</v>
      </c>
      <c r="AC184" s="25">
        <f t="shared" si="21"/>
        <v>0</v>
      </c>
      <c r="AD184" s="25">
        <f t="shared" si="21"/>
        <v>0</v>
      </c>
      <c r="AE184" s="25">
        <f t="shared" si="21"/>
        <v>0</v>
      </c>
      <c r="AF184" s="25">
        <f t="shared" si="21"/>
        <v>104901</v>
      </c>
    </row>
    <row r="185" spans="1:32" ht="11.25">
      <c r="A185" s="9" t="s">
        <v>40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>
        <v>1631</v>
      </c>
      <c r="AA185" s="9"/>
      <c r="AB185" s="9"/>
      <c r="AC185" s="9"/>
      <c r="AD185" s="9"/>
      <c r="AE185" s="9"/>
      <c r="AF185" s="10">
        <f aca="true" t="shared" si="22" ref="AF185:AF203">SUM(B185:AE185)</f>
        <v>1631</v>
      </c>
    </row>
    <row r="186" spans="1:32" ht="11.25">
      <c r="A186" s="9" t="s">
        <v>41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>
        <v>462742</v>
      </c>
      <c r="AA186" s="9"/>
      <c r="AB186" s="9"/>
      <c r="AC186" s="9"/>
      <c r="AD186" s="9"/>
      <c r="AE186" s="9"/>
      <c r="AF186" s="10">
        <f t="shared" si="22"/>
        <v>462742</v>
      </c>
    </row>
    <row r="187" spans="1:32" ht="11.25">
      <c r="A187" s="9" t="s">
        <v>42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>
        <v>32534</v>
      </c>
      <c r="AA187" s="9"/>
      <c r="AB187" s="9"/>
      <c r="AC187" s="9"/>
      <c r="AD187" s="9"/>
      <c r="AE187" s="9"/>
      <c r="AF187" s="10">
        <f t="shared" si="22"/>
        <v>32534</v>
      </c>
    </row>
    <row r="188" spans="1:32" ht="11.25">
      <c r="A188" s="9" t="s">
        <v>43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>
        <v>75803</v>
      </c>
      <c r="AA188" s="9"/>
      <c r="AB188" s="9"/>
      <c r="AC188" s="9"/>
      <c r="AD188" s="9"/>
      <c r="AE188" s="9"/>
      <c r="AF188" s="10">
        <f t="shared" si="22"/>
        <v>75803</v>
      </c>
    </row>
    <row r="189" spans="1:32" ht="11.25">
      <c r="A189" s="9" t="s">
        <v>44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>
        <v>12060</v>
      </c>
      <c r="AA189" s="9"/>
      <c r="AB189" s="9"/>
      <c r="AC189" s="9"/>
      <c r="AD189" s="9"/>
      <c r="AE189" s="9"/>
      <c r="AF189" s="10">
        <f t="shared" si="22"/>
        <v>12060</v>
      </c>
    </row>
    <row r="190" spans="1:32" ht="11.25">
      <c r="A190" s="9" t="s">
        <v>46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>
        <v>31000</v>
      </c>
      <c r="AA190" s="9"/>
      <c r="AB190" s="9"/>
      <c r="AC190" s="9"/>
      <c r="AD190" s="9"/>
      <c r="AE190" s="9"/>
      <c r="AF190" s="10">
        <f t="shared" si="22"/>
        <v>31000</v>
      </c>
    </row>
    <row r="191" spans="1:32" ht="11.25">
      <c r="A191" s="9" t="s">
        <v>47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>
        <v>4600</v>
      </c>
      <c r="AA191" s="9"/>
      <c r="AB191" s="9"/>
      <c r="AC191" s="9"/>
      <c r="AD191" s="9"/>
      <c r="AE191" s="9"/>
      <c r="AF191" s="10">
        <f t="shared" si="22"/>
        <v>4600</v>
      </c>
    </row>
    <row r="192" spans="1:32" ht="11.25">
      <c r="A192" s="9" t="s">
        <v>49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>
        <v>2000</v>
      </c>
      <c r="AA192" s="9"/>
      <c r="AB192" s="9"/>
      <c r="AC192" s="9"/>
      <c r="AD192" s="9"/>
      <c r="AE192" s="9"/>
      <c r="AF192" s="10">
        <f t="shared" si="22"/>
        <v>2000</v>
      </c>
    </row>
    <row r="193" spans="1:32" ht="11.25">
      <c r="A193" s="9" t="s">
        <v>50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>
        <v>3980</v>
      </c>
      <c r="AA193" s="9"/>
      <c r="AB193" s="9"/>
      <c r="AC193" s="9"/>
      <c r="AD193" s="9"/>
      <c r="AE193" s="9"/>
      <c r="AF193" s="10">
        <f t="shared" si="22"/>
        <v>3980</v>
      </c>
    </row>
    <row r="194" spans="1:32" ht="11.25">
      <c r="A194" s="9" t="s">
        <v>51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>
        <v>2000</v>
      </c>
      <c r="AA194" s="9"/>
      <c r="AB194" s="9"/>
      <c r="AC194" s="9"/>
      <c r="AD194" s="9"/>
      <c r="AE194" s="9"/>
      <c r="AF194" s="10">
        <f t="shared" si="22"/>
        <v>2000</v>
      </c>
    </row>
    <row r="195" spans="1:32" ht="11.25">
      <c r="A195" s="9" t="s">
        <v>52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>
        <v>800</v>
      </c>
      <c r="AA195" s="9"/>
      <c r="AB195" s="9"/>
      <c r="AC195" s="9"/>
      <c r="AD195" s="9"/>
      <c r="AE195" s="9"/>
      <c r="AF195" s="10">
        <f t="shared" si="22"/>
        <v>800</v>
      </c>
    </row>
    <row r="196" spans="1:32" ht="11.25">
      <c r="A196" s="9" t="s">
        <v>53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>
        <v>26400</v>
      </c>
      <c r="AA196" s="9"/>
      <c r="AB196" s="9"/>
      <c r="AC196" s="9"/>
      <c r="AD196" s="9"/>
      <c r="AE196" s="9"/>
      <c r="AF196" s="10">
        <f t="shared" si="22"/>
        <v>26400</v>
      </c>
    </row>
    <row r="197" spans="1:32" ht="11.25">
      <c r="A197" s="9" t="s">
        <v>57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>
        <v>4000</v>
      </c>
      <c r="AA197" s="9"/>
      <c r="AB197" s="9"/>
      <c r="AC197" s="9"/>
      <c r="AD197" s="9"/>
      <c r="AE197" s="9"/>
      <c r="AF197" s="10">
        <f t="shared" si="22"/>
        <v>4000</v>
      </c>
    </row>
    <row r="198" spans="1:32" ht="11.25">
      <c r="A198" s="9" t="s">
        <v>58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>
        <v>2500</v>
      </c>
      <c r="AA198" s="9"/>
      <c r="AB198" s="9"/>
      <c r="AC198" s="9"/>
      <c r="AD198" s="9"/>
      <c r="AE198" s="9"/>
      <c r="AF198" s="10">
        <f t="shared" si="22"/>
        <v>2500</v>
      </c>
    </row>
    <row r="199" spans="1:32" ht="11.25">
      <c r="A199" s="9" t="s">
        <v>60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>
        <v>1200</v>
      </c>
      <c r="AA199" s="9"/>
      <c r="AB199" s="9"/>
      <c r="AC199" s="9"/>
      <c r="AD199" s="9"/>
      <c r="AE199" s="9"/>
      <c r="AF199" s="10">
        <f t="shared" si="22"/>
        <v>1200</v>
      </c>
    </row>
    <row r="200" spans="1:32" ht="11.25">
      <c r="A200" s="9" t="s">
        <v>61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>
        <v>26952</v>
      </c>
      <c r="AA200" s="9"/>
      <c r="AB200" s="9"/>
      <c r="AC200" s="9"/>
      <c r="AD200" s="9"/>
      <c r="AE200" s="9"/>
      <c r="AF200" s="10">
        <f t="shared" si="22"/>
        <v>26952</v>
      </c>
    </row>
    <row r="201" spans="1:32" ht="11.25">
      <c r="A201" s="9" t="s">
        <v>62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>
        <v>2400</v>
      </c>
      <c r="AA201" s="9"/>
      <c r="AB201" s="9"/>
      <c r="AC201" s="9"/>
      <c r="AD201" s="9"/>
      <c r="AE201" s="9"/>
      <c r="AF201" s="10">
        <f t="shared" si="22"/>
        <v>2400</v>
      </c>
    </row>
    <row r="202" spans="1:32" ht="11.25">
      <c r="A202" s="9" t="s">
        <v>63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>
        <v>1500</v>
      </c>
      <c r="AA202" s="9"/>
      <c r="AB202" s="9"/>
      <c r="AC202" s="9"/>
      <c r="AD202" s="9"/>
      <c r="AE202" s="9"/>
      <c r="AF202" s="10">
        <f t="shared" si="22"/>
        <v>1500</v>
      </c>
    </row>
    <row r="203" spans="1:32" ht="11.25">
      <c r="A203" s="9" t="s">
        <v>64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>
        <v>1800</v>
      </c>
      <c r="AA203" s="9"/>
      <c r="AB203" s="9"/>
      <c r="AC203" s="9"/>
      <c r="AD203" s="9"/>
      <c r="AE203" s="9"/>
      <c r="AF203" s="10">
        <f t="shared" si="22"/>
        <v>1800</v>
      </c>
    </row>
    <row r="204" spans="1:32" s="27" customFormat="1" ht="11.25">
      <c r="A204" s="25" t="s">
        <v>125</v>
      </c>
      <c r="B204" s="25">
        <f aca="true" t="shared" si="23" ref="B204:AF204">SUM(B185:B203)</f>
        <v>0</v>
      </c>
      <c r="C204" s="25">
        <f t="shared" si="23"/>
        <v>0</v>
      </c>
      <c r="D204" s="25">
        <f t="shared" si="23"/>
        <v>0</v>
      </c>
      <c r="E204" s="25">
        <f t="shared" si="23"/>
        <v>0</v>
      </c>
      <c r="F204" s="25">
        <f t="shared" si="23"/>
        <v>0</v>
      </c>
      <c r="G204" s="25">
        <f t="shared" si="23"/>
        <v>0</v>
      </c>
      <c r="H204" s="25">
        <f t="shared" si="23"/>
        <v>0</v>
      </c>
      <c r="I204" s="25">
        <f t="shared" si="23"/>
        <v>0</v>
      </c>
      <c r="J204" s="25">
        <f t="shared" si="23"/>
        <v>0</v>
      </c>
      <c r="K204" s="25">
        <f t="shared" si="23"/>
        <v>0</v>
      </c>
      <c r="L204" s="25">
        <f t="shared" si="23"/>
        <v>0</v>
      </c>
      <c r="M204" s="25">
        <f t="shared" si="23"/>
        <v>0</v>
      </c>
      <c r="N204" s="25">
        <f t="shared" si="23"/>
        <v>0</v>
      </c>
      <c r="O204" s="25">
        <f t="shared" si="23"/>
        <v>0</v>
      </c>
      <c r="P204" s="25">
        <f t="shared" si="23"/>
        <v>0</v>
      </c>
      <c r="Q204" s="25">
        <f t="shared" si="23"/>
        <v>0</v>
      </c>
      <c r="R204" s="25">
        <f t="shared" si="23"/>
        <v>0</v>
      </c>
      <c r="S204" s="25">
        <f t="shared" si="23"/>
        <v>0</v>
      </c>
      <c r="T204" s="25">
        <f t="shared" si="23"/>
        <v>0</v>
      </c>
      <c r="U204" s="25">
        <f t="shared" si="23"/>
        <v>0</v>
      </c>
      <c r="V204" s="25">
        <f t="shared" si="23"/>
        <v>0</v>
      </c>
      <c r="W204" s="25">
        <f t="shared" si="23"/>
        <v>0</v>
      </c>
      <c r="X204" s="25">
        <f t="shared" si="23"/>
        <v>0</v>
      </c>
      <c r="Y204" s="25">
        <f t="shared" si="23"/>
        <v>0</v>
      </c>
      <c r="Z204" s="25">
        <f t="shared" si="23"/>
        <v>695902</v>
      </c>
      <c r="AA204" s="25">
        <f t="shared" si="23"/>
        <v>0</v>
      </c>
      <c r="AB204" s="25">
        <f t="shared" si="23"/>
        <v>0</v>
      </c>
      <c r="AC204" s="25">
        <f t="shared" si="23"/>
        <v>0</v>
      </c>
      <c r="AD204" s="25">
        <f t="shared" si="23"/>
        <v>0</v>
      </c>
      <c r="AE204" s="25">
        <f t="shared" si="23"/>
        <v>0</v>
      </c>
      <c r="AF204" s="25">
        <f t="shared" si="23"/>
        <v>695902</v>
      </c>
    </row>
    <row r="205" spans="1:32" s="27" customFormat="1" ht="11.25">
      <c r="A205" s="9" t="s">
        <v>40</v>
      </c>
      <c r="B205" s="9">
        <v>500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10">
        <f aca="true" t="shared" si="24" ref="AF205:AF214">SUM(B205:AE205)</f>
        <v>500</v>
      </c>
    </row>
    <row r="206" spans="1:32" ht="11.25">
      <c r="A206" s="9" t="s">
        <v>41</v>
      </c>
      <c r="B206" s="9">
        <v>84579</v>
      </c>
      <c r="C206" s="9">
        <v>73179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10">
        <f t="shared" si="24"/>
        <v>157758</v>
      </c>
    </row>
    <row r="207" spans="1:32" ht="11.25">
      <c r="A207" s="9" t="s">
        <v>42</v>
      </c>
      <c r="B207" s="9">
        <v>7679</v>
      </c>
      <c r="C207" s="9">
        <v>5642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10">
        <f t="shared" si="24"/>
        <v>13321</v>
      </c>
    </row>
    <row r="208" spans="1:32" ht="11.25">
      <c r="A208" s="9" t="s">
        <v>43</v>
      </c>
      <c r="B208" s="9">
        <v>14208</v>
      </c>
      <c r="C208" s="9">
        <v>12138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10">
        <f t="shared" si="24"/>
        <v>26346</v>
      </c>
    </row>
    <row r="209" spans="1:32" ht="11.25">
      <c r="A209" s="9" t="s">
        <v>44</v>
      </c>
      <c r="B209" s="9">
        <v>2260</v>
      </c>
      <c r="C209" s="9">
        <v>1931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10">
        <f t="shared" si="24"/>
        <v>4191</v>
      </c>
    </row>
    <row r="210" spans="1:32" ht="11.25">
      <c r="A210" s="9" t="s">
        <v>47</v>
      </c>
      <c r="B210" s="9">
        <v>1588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10">
        <f t="shared" si="24"/>
        <v>1588</v>
      </c>
    </row>
    <row r="211" spans="1:32" ht="11.25">
      <c r="A211" s="9" t="s">
        <v>75</v>
      </c>
      <c r="B211" s="9">
        <v>2000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10">
        <f t="shared" si="24"/>
        <v>2000</v>
      </c>
    </row>
    <row r="212" spans="1:32" ht="11.25">
      <c r="A212" s="9" t="s">
        <v>50</v>
      </c>
      <c r="B212" s="9">
        <v>1684</v>
      </c>
      <c r="C212" s="9">
        <v>2000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10">
        <f t="shared" si="24"/>
        <v>3684</v>
      </c>
    </row>
    <row r="213" spans="1:32" ht="11.25">
      <c r="A213" s="9" t="s">
        <v>53</v>
      </c>
      <c r="B213" s="9">
        <v>2400</v>
      </c>
      <c r="C213" s="9">
        <v>500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10">
        <f t="shared" si="24"/>
        <v>2900</v>
      </c>
    </row>
    <row r="214" spans="1:32" ht="11.25">
      <c r="A214" s="9" t="s">
        <v>61</v>
      </c>
      <c r="B214" s="9">
        <v>3605</v>
      </c>
      <c r="C214" s="9">
        <v>3090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10">
        <f t="shared" si="24"/>
        <v>6695</v>
      </c>
    </row>
    <row r="215" spans="1:32" s="27" customFormat="1" ht="11.25">
      <c r="A215" s="25" t="s">
        <v>126</v>
      </c>
      <c r="B215" s="25">
        <f aca="true" t="shared" si="25" ref="B215:AF215">SUM(B205:B214)</f>
        <v>120503</v>
      </c>
      <c r="C215" s="25">
        <f t="shared" si="25"/>
        <v>98480</v>
      </c>
      <c r="D215" s="25">
        <f t="shared" si="25"/>
        <v>0</v>
      </c>
      <c r="E215" s="25">
        <f t="shared" si="25"/>
        <v>0</v>
      </c>
      <c r="F215" s="25">
        <f t="shared" si="25"/>
        <v>0</v>
      </c>
      <c r="G215" s="25">
        <f t="shared" si="25"/>
        <v>0</v>
      </c>
      <c r="H215" s="25">
        <f t="shared" si="25"/>
        <v>0</v>
      </c>
      <c r="I215" s="25">
        <f t="shared" si="25"/>
        <v>0</v>
      </c>
      <c r="J215" s="25">
        <f t="shared" si="25"/>
        <v>0</v>
      </c>
      <c r="K215" s="25">
        <f t="shared" si="25"/>
        <v>0</v>
      </c>
      <c r="L215" s="25">
        <f t="shared" si="25"/>
        <v>0</v>
      </c>
      <c r="M215" s="25">
        <f t="shared" si="25"/>
        <v>0</v>
      </c>
      <c r="N215" s="25">
        <f t="shared" si="25"/>
        <v>0</v>
      </c>
      <c r="O215" s="25">
        <f t="shared" si="25"/>
        <v>0</v>
      </c>
      <c r="P215" s="25">
        <f t="shared" si="25"/>
        <v>0</v>
      </c>
      <c r="Q215" s="25">
        <f t="shared" si="25"/>
        <v>0</v>
      </c>
      <c r="R215" s="25">
        <f t="shared" si="25"/>
        <v>0</v>
      </c>
      <c r="S215" s="25">
        <f t="shared" si="25"/>
        <v>0</v>
      </c>
      <c r="T215" s="25">
        <f t="shared" si="25"/>
        <v>0</v>
      </c>
      <c r="U215" s="25">
        <f t="shared" si="25"/>
        <v>0</v>
      </c>
      <c r="V215" s="25">
        <f t="shared" si="25"/>
        <v>0</v>
      </c>
      <c r="W215" s="25">
        <f t="shared" si="25"/>
        <v>0</v>
      </c>
      <c r="X215" s="25">
        <f t="shared" si="25"/>
        <v>0</v>
      </c>
      <c r="Y215" s="25">
        <f t="shared" si="25"/>
        <v>0</v>
      </c>
      <c r="Z215" s="25">
        <f t="shared" si="25"/>
        <v>0</v>
      </c>
      <c r="AA215" s="25">
        <f t="shared" si="25"/>
        <v>0</v>
      </c>
      <c r="AB215" s="25">
        <f t="shared" si="25"/>
        <v>0</v>
      </c>
      <c r="AC215" s="25">
        <f t="shared" si="25"/>
        <v>0</v>
      </c>
      <c r="AD215" s="25">
        <f t="shared" si="25"/>
        <v>0</v>
      </c>
      <c r="AE215" s="25">
        <f t="shared" si="25"/>
        <v>0</v>
      </c>
      <c r="AF215" s="25">
        <f t="shared" si="25"/>
        <v>218983</v>
      </c>
    </row>
    <row r="216" spans="1:32" ht="11.25">
      <c r="A216" s="9" t="s">
        <v>40</v>
      </c>
      <c r="B216" s="9"/>
      <c r="C216" s="9">
        <v>760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10">
        <f aca="true" t="shared" si="26" ref="AF216:AF225">SUM(B216:AE216)</f>
        <v>760</v>
      </c>
    </row>
    <row r="217" spans="1:32" ht="11.25">
      <c r="A217" s="9" t="s">
        <v>41</v>
      </c>
      <c r="B217" s="9"/>
      <c r="C217" s="9">
        <v>323075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10">
        <f t="shared" si="26"/>
        <v>323075</v>
      </c>
    </row>
    <row r="218" spans="1:32" ht="11.25">
      <c r="A218" s="9" t="s">
        <v>42</v>
      </c>
      <c r="B218" s="9"/>
      <c r="C218" s="9">
        <v>18502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10">
        <f t="shared" si="26"/>
        <v>18502</v>
      </c>
    </row>
    <row r="219" spans="1:32" ht="11.25">
      <c r="A219" s="9" t="s">
        <v>43</v>
      </c>
      <c r="B219" s="9">
        <v>1800</v>
      </c>
      <c r="C219" s="9">
        <v>52208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10">
        <f t="shared" si="26"/>
        <v>54008</v>
      </c>
    </row>
    <row r="220" spans="1:32" ht="11.25">
      <c r="A220" s="9" t="s">
        <v>44</v>
      </c>
      <c r="B220" s="9">
        <v>300</v>
      </c>
      <c r="C220" s="9">
        <v>8306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10">
        <f t="shared" si="26"/>
        <v>8606</v>
      </c>
    </row>
    <row r="221" spans="1:32" ht="11.25">
      <c r="A221" s="9" t="s">
        <v>46</v>
      </c>
      <c r="B221" s="9">
        <v>11900</v>
      </c>
      <c r="C221" s="9">
        <v>0</v>
      </c>
      <c r="D221" s="9"/>
      <c r="E221" s="9"/>
      <c r="F221" s="9"/>
      <c r="G221" s="9"/>
      <c r="H221" s="9"/>
      <c r="I221" s="9"/>
      <c r="J221" s="9"/>
      <c r="K221" s="9"/>
      <c r="L221" s="9">
        <v>2000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10">
        <f t="shared" si="26"/>
        <v>13900</v>
      </c>
    </row>
    <row r="222" spans="1:32" ht="11.25">
      <c r="A222" s="9" t="s">
        <v>47</v>
      </c>
      <c r="B222" s="9">
        <f>2500+1500+1000</f>
        <v>5000</v>
      </c>
      <c r="C222" s="9">
        <v>1440</v>
      </c>
      <c r="D222" s="9"/>
      <c r="E222" s="9"/>
      <c r="F222" s="9"/>
      <c r="G222" s="9"/>
      <c r="H222" s="9">
        <v>1000</v>
      </c>
      <c r="I222" s="9">
        <v>240</v>
      </c>
      <c r="J222" s="9"/>
      <c r="K222" s="9">
        <v>2000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10">
        <f t="shared" si="26"/>
        <v>9680</v>
      </c>
    </row>
    <row r="223" spans="1:32" ht="11.25">
      <c r="A223" s="9" t="s">
        <v>50</v>
      </c>
      <c r="B223" s="9"/>
      <c r="C223" s="9">
        <v>2500</v>
      </c>
      <c r="D223" s="9"/>
      <c r="E223" s="9"/>
      <c r="F223" s="9"/>
      <c r="G223" s="9"/>
      <c r="H223" s="9"/>
      <c r="I223" s="9">
        <v>2000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10">
        <f t="shared" si="26"/>
        <v>4500</v>
      </c>
    </row>
    <row r="224" spans="1:32" ht="11.25">
      <c r="A224" s="9" t="s">
        <v>53</v>
      </c>
      <c r="B224" s="9"/>
      <c r="C224" s="9">
        <v>500</v>
      </c>
      <c r="D224" s="9"/>
      <c r="E224" s="9"/>
      <c r="F224" s="9"/>
      <c r="G224" s="9">
        <v>3000</v>
      </c>
      <c r="H224" s="9"/>
      <c r="I224" s="9">
        <v>2560</v>
      </c>
      <c r="J224" s="9"/>
      <c r="K224" s="9"/>
      <c r="L224" s="9"/>
      <c r="M224" s="9"/>
      <c r="N224" s="9"/>
      <c r="O224" s="9"/>
      <c r="P224" s="9"/>
      <c r="Q224" s="9"/>
      <c r="R224" s="9">
        <v>2000</v>
      </c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10">
        <f t="shared" si="26"/>
        <v>8060</v>
      </c>
    </row>
    <row r="225" spans="1:32" ht="11.25">
      <c r="A225" s="9" t="s">
        <v>61</v>
      </c>
      <c r="B225" s="9"/>
      <c r="C225" s="9">
        <v>20066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10">
        <f t="shared" si="26"/>
        <v>20066</v>
      </c>
    </row>
    <row r="226" spans="1:32" s="27" customFormat="1" ht="11.25">
      <c r="A226" s="25" t="s">
        <v>127</v>
      </c>
      <c r="B226" s="25">
        <f aca="true" t="shared" si="27" ref="B226:AF226">SUM(B216:B225)</f>
        <v>19000</v>
      </c>
      <c r="C226" s="25">
        <f t="shared" si="27"/>
        <v>427357</v>
      </c>
      <c r="D226" s="25">
        <f t="shared" si="27"/>
        <v>0</v>
      </c>
      <c r="E226" s="25">
        <f t="shared" si="27"/>
        <v>0</v>
      </c>
      <c r="F226" s="25">
        <f t="shared" si="27"/>
        <v>0</v>
      </c>
      <c r="G226" s="25">
        <f t="shared" si="27"/>
        <v>3000</v>
      </c>
      <c r="H226" s="25">
        <f t="shared" si="27"/>
        <v>1000</v>
      </c>
      <c r="I226" s="25">
        <f t="shared" si="27"/>
        <v>4800</v>
      </c>
      <c r="J226" s="25">
        <f t="shared" si="27"/>
        <v>0</v>
      </c>
      <c r="K226" s="25">
        <f t="shared" si="27"/>
        <v>2000</v>
      </c>
      <c r="L226" s="25">
        <f t="shared" si="27"/>
        <v>2000</v>
      </c>
      <c r="M226" s="25">
        <f t="shared" si="27"/>
        <v>0</v>
      </c>
      <c r="N226" s="25">
        <f t="shared" si="27"/>
        <v>0</v>
      </c>
      <c r="O226" s="25">
        <f t="shared" si="27"/>
        <v>0</v>
      </c>
      <c r="P226" s="25">
        <f t="shared" si="27"/>
        <v>0</v>
      </c>
      <c r="Q226" s="25">
        <f t="shared" si="27"/>
        <v>0</v>
      </c>
      <c r="R226" s="25">
        <f t="shared" si="27"/>
        <v>2000</v>
      </c>
      <c r="S226" s="25">
        <f t="shared" si="27"/>
        <v>0</v>
      </c>
      <c r="T226" s="25">
        <f t="shared" si="27"/>
        <v>0</v>
      </c>
      <c r="U226" s="25">
        <f t="shared" si="27"/>
        <v>0</v>
      </c>
      <c r="V226" s="25">
        <f t="shared" si="27"/>
        <v>0</v>
      </c>
      <c r="W226" s="25">
        <f t="shared" si="27"/>
        <v>0</v>
      </c>
      <c r="X226" s="25">
        <f t="shared" si="27"/>
        <v>0</v>
      </c>
      <c r="Y226" s="25">
        <f t="shared" si="27"/>
        <v>0</v>
      </c>
      <c r="Z226" s="25">
        <f t="shared" si="27"/>
        <v>0</v>
      </c>
      <c r="AA226" s="25">
        <f t="shared" si="27"/>
        <v>0</v>
      </c>
      <c r="AB226" s="25">
        <f t="shared" si="27"/>
        <v>0</v>
      </c>
      <c r="AC226" s="25">
        <f t="shared" si="27"/>
        <v>0</v>
      </c>
      <c r="AD226" s="25">
        <f t="shared" si="27"/>
        <v>0</v>
      </c>
      <c r="AE226" s="25">
        <f t="shared" si="27"/>
        <v>0</v>
      </c>
      <c r="AF226" s="25">
        <f t="shared" si="27"/>
        <v>461157</v>
      </c>
    </row>
    <row r="227" spans="1:32" s="27" customFormat="1" ht="11.25">
      <c r="A227" s="23" t="s">
        <v>128</v>
      </c>
      <c r="B227" s="23">
        <f aca="true" t="shared" si="28" ref="B227:AF227">B230</f>
        <v>7392</v>
      </c>
      <c r="C227" s="23">
        <f t="shared" si="28"/>
        <v>47200</v>
      </c>
      <c r="D227" s="23">
        <f t="shared" si="28"/>
        <v>11088</v>
      </c>
      <c r="E227" s="23">
        <f t="shared" si="28"/>
        <v>2640</v>
      </c>
      <c r="F227" s="23">
        <f t="shared" si="28"/>
        <v>0</v>
      </c>
      <c r="G227" s="23">
        <f t="shared" si="28"/>
        <v>0</v>
      </c>
      <c r="H227" s="23">
        <f t="shared" si="28"/>
        <v>0</v>
      </c>
      <c r="I227" s="23">
        <f t="shared" si="28"/>
        <v>0</v>
      </c>
      <c r="J227" s="23">
        <f t="shared" si="28"/>
        <v>0</v>
      </c>
      <c r="K227" s="23">
        <f t="shared" si="28"/>
        <v>0</v>
      </c>
      <c r="L227" s="23">
        <f t="shared" si="28"/>
        <v>0</v>
      </c>
      <c r="M227" s="23">
        <f t="shared" si="28"/>
        <v>0</v>
      </c>
      <c r="N227" s="23">
        <f t="shared" si="28"/>
        <v>0</v>
      </c>
      <c r="O227" s="23">
        <f t="shared" si="28"/>
        <v>0</v>
      </c>
      <c r="P227" s="23">
        <f t="shared" si="28"/>
        <v>0</v>
      </c>
      <c r="Q227" s="23">
        <f t="shared" si="28"/>
        <v>0</v>
      </c>
      <c r="R227" s="23">
        <f t="shared" si="28"/>
        <v>0</v>
      </c>
      <c r="S227" s="23">
        <f t="shared" si="28"/>
        <v>0</v>
      </c>
      <c r="T227" s="23">
        <f t="shared" si="28"/>
        <v>0</v>
      </c>
      <c r="U227" s="23">
        <f t="shared" si="28"/>
        <v>0</v>
      </c>
      <c r="V227" s="23">
        <f t="shared" si="28"/>
        <v>0</v>
      </c>
      <c r="W227" s="23">
        <f t="shared" si="28"/>
        <v>0</v>
      </c>
      <c r="X227" s="23">
        <f t="shared" si="28"/>
        <v>0</v>
      </c>
      <c r="Y227" s="23">
        <f t="shared" si="28"/>
        <v>0</v>
      </c>
      <c r="Z227" s="23">
        <f t="shared" si="28"/>
        <v>0</v>
      </c>
      <c r="AA227" s="23">
        <f t="shared" si="28"/>
        <v>0</v>
      </c>
      <c r="AB227" s="23">
        <f t="shared" si="28"/>
        <v>0</v>
      </c>
      <c r="AC227" s="23">
        <f t="shared" si="28"/>
        <v>0</v>
      </c>
      <c r="AD227" s="23">
        <f t="shared" si="28"/>
        <v>8000</v>
      </c>
      <c r="AE227" s="23">
        <f t="shared" si="28"/>
        <v>0</v>
      </c>
      <c r="AF227" s="23">
        <f t="shared" si="28"/>
        <v>76320</v>
      </c>
    </row>
    <row r="228" spans="1:32" ht="11.25">
      <c r="A228" s="9" t="s">
        <v>75</v>
      </c>
      <c r="B228" s="9">
        <v>7392</v>
      </c>
      <c r="C228" s="9">
        <v>13200</v>
      </c>
      <c r="D228" s="9">
        <v>11088</v>
      </c>
      <c r="E228" s="9">
        <v>2640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10">
        <f>SUM(B228:AE228)</f>
        <v>34320</v>
      </c>
    </row>
    <row r="229" spans="1:32" ht="11.25">
      <c r="A229" s="9" t="s">
        <v>53</v>
      </c>
      <c r="B229" s="9"/>
      <c r="C229" s="9">
        <v>34000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>
        <v>8000</v>
      </c>
      <c r="AE229" s="9"/>
      <c r="AF229" s="10">
        <f>SUM(B229:AE229)</f>
        <v>42000</v>
      </c>
    </row>
    <row r="230" spans="1:32" s="27" customFormat="1" ht="11.25">
      <c r="A230" s="25" t="s">
        <v>129</v>
      </c>
      <c r="B230" s="25">
        <f aca="true" t="shared" si="29" ref="B230:AF230">SUM(B228:B229)</f>
        <v>7392</v>
      </c>
      <c r="C230" s="25">
        <f t="shared" si="29"/>
        <v>47200</v>
      </c>
      <c r="D230" s="25">
        <f t="shared" si="29"/>
        <v>11088</v>
      </c>
      <c r="E230" s="25">
        <f t="shared" si="29"/>
        <v>2640</v>
      </c>
      <c r="F230" s="25">
        <f t="shared" si="29"/>
        <v>0</v>
      </c>
      <c r="G230" s="25">
        <f t="shared" si="29"/>
        <v>0</v>
      </c>
      <c r="H230" s="25">
        <f t="shared" si="29"/>
        <v>0</v>
      </c>
      <c r="I230" s="25">
        <f t="shared" si="29"/>
        <v>0</v>
      </c>
      <c r="J230" s="25">
        <f t="shared" si="29"/>
        <v>0</v>
      </c>
      <c r="K230" s="25">
        <f t="shared" si="29"/>
        <v>0</v>
      </c>
      <c r="L230" s="25">
        <f t="shared" si="29"/>
        <v>0</v>
      </c>
      <c r="M230" s="25">
        <f t="shared" si="29"/>
        <v>0</v>
      </c>
      <c r="N230" s="25">
        <f t="shared" si="29"/>
        <v>0</v>
      </c>
      <c r="O230" s="25">
        <f t="shared" si="29"/>
        <v>0</v>
      </c>
      <c r="P230" s="25">
        <f t="shared" si="29"/>
        <v>0</v>
      </c>
      <c r="Q230" s="25">
        <f t="shared" si="29"/>
        <v>0</v>
      </c>
      <c r="R230" s="25">
        <f t="shared" si="29"/>
        <v>0</v>
      </c>
      <c r="S230" s="25">
        <f t="shared" si="29"/>
        <v>0</v>
      </c>
      <c r="T230" s="25">
        <f t="shared" si="29"/>
        <v>0</v>
      </c>
      <c r="U230" s="25">
        <f t="shared" si="29"/>
        <v>0</v>
      </c>
      <c r="V230" s="25">
        <f t="shared" si="29"/>
        <v>0</v>
      </c>
      <c r="W230" s="25">
        <f t="shared" si="29"/>
        <v>0</v>
      </c>
      <c r="X230" s="25">
        <f t="shared" si="29"/>
        <v>0</v>
      </c>
      <c r="Y230" s="25">
        <f t="shared" si="29"/>
        <v>0</v>
      </c>
      <c r="Z230" s="25">
        <f t="shared" si="29"/>
        <v>0</v>
      </c>
      <c r="AA230" s="25">
        <f t="shared" si="29"/>
        <v>0</v>
      </c>
      <c r="AB230" s="25">
        <f t="shared" si="29"/>
        <v>0</v>
      </c>
      <c r="AC230" s="25">
        <f t="shared" si="29"/>
        <v>0</v>
      </c>
      <c r="AD230" s="25">
        <f t="shared" si="29"/>
        <v>8000</v>
      </c>
      <c r="AE230" s="25">
        <f t="shared" si="29"/>
        <v>0</v>
      </c>
      <c r="AF230" s="25">
        <f t="shared" si="29"/>
        <v>76320</v>
      </c>
    </row>
    <row r="231" spans="1:32" ht="11.25">
      <c r="A231" s="23" t="s">
        <v>130</v>
      </c>
      <c r="B231" s="23">
        <f aca="true" t="shared" si="30" ref="B231:AF231">B240+B262+B271+B293+B311+B323+B331</f>
        <v>0</v>
      </c>
      <c r="C231" s="23">
        <f t="shared" si="30"/>
        <v>237628</v>
      </c>
      <c r="D231" s="23">
        <f t="shared" si="30"/>
        <v>853375</v>
      </c>
      <c r="E231" s="23">
        <f t="shared" si="30"/>
        <v>739330</v>
      </c>
      <c r="F231" s="23">
        <f t="shared" si="30"/>
        <v>0</v>
      </c>
      <c r="G231" s="23">
        <f t="shared" si="30"/>
        <v>0</v>
      </c>
      <c r="H231" s="23">
        <f t="shared" si="30"/>
        <v>952594</v>
      </c>
      <c r="I231" s="23">
        <f t="shared" si="30"/>
        <v>0</v>
      </c>
      <c r="J231" s="23">
        <f t="shared" si="30"/>
        <v>0</v>
      </c>
      <c r="K231" s="23">
        <f t="shared" si="30"/>
        <v>0</v>
      </c>
      <c r="L231" s="23">
        <f t="shared" si="30"/>
        <v>0</v>
      </c>
      <c r="M231" s="23">
        <f t="shared" si="30"/>
        <v>0</v>
      </c>
      <c r="N231" s="23">
        <f t="shared" si="30"/>
        <v>0</v>
      </c>
      <c r="O231" s="23">
        <f t="shared" si="30"/>
        <v>873557</v>
      </c>
      <c r="P231" s="23">
        <f t="shared" si="30"/>
        <v>0</v>
      </c>
      <c r="Q231" s="23">
        <f t="shared" si="30"/>
        <v>0</v>
      </c>
      <c r="R231" s="23">
        <f t="shared" si="30"/>
        <v>0</v>
      </c>
      <c r="S231" s="23">
        <f t="shared" si="30"/>
        <v>0</v>
      </c>
      <c r="T231" s="23">
        <f t="shared" si="30"/>
        <v>0</v>
      </c>
      <c r="U231" s="23">
        <f t="shared" si="30"/>
        <v>0</v>
      </c>
      <c r="V231" s="23">
        <f t="shared" si="30"/>
        <v>0</v>
      </c>
      <c r="W231" s="23">
        <f t="shared" si="30"/>
        <v>0</v>
      </c>
      <c r="X231" s="23">
        <f t="shared" si="30"/>
        <v>0</v>
      </c>
      <c r="Y231" s="23">
        <f t="shared" si="30"/>
        <v>0</v>
      </c>
      <c r="Z231" s="23">
        <f t="shared" si="30"/>
        <v>0</v>
      </c>
      <c r="AA231" s="23">
        <f t="shared" si="30"/>
        <v>1436037</v>
      </c>
      <c r="AB231" s="23">
        <f t="shared" si="30"/>
        <v>1293159</v>
      </c>
      <c r="AC231" s="23">
        <f t="shared" si="30"/>
        <v>1119457</v>
      </c>
      <c r="AD231" s="23">
        <f t="shared" si="30"/>
        <v>1499749</v>
      </c>
      <c r="AE231" s="23">
        <f t="shared" si="30"/>
        <v>405318</v>
      </c>
      <c r="AF231" s="23">
        <f t="shared" si="30"/>
        <v>9410204</v>
      </c>
    </row>
    <row r="232" spans="1:32" ht="11.25">
      <c r="A232" s="9" t="s">
        <v>40</v>
      </c>
      <c r="B232" s="9"/>
      <c r="C232" s="9">
        <v>220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10">
        <f aca="true" t="shared" si="31" ref="AF232:AF239">SUM(B232:AE232)</f>
        <v>220</v>
      </c>
    </row>
    <row r="233" spans="1:32" ht="11.25">
      <c r="A233" s="9" t="s">
        <v>41</v>
      </c>
      <c r="B233" s="9"/>
      <c r="C233" s="9">
        <v>134560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10">
        <f t="shared" si="31"/>
        <v>134560</v>
      </c>
    </row>
    <row r="234" spans="1:32" ht="11.25">
      <c r="A234" s="9" t="s">
        <v>42</v>
      </c>
      <c r="B234" s="9"/>
      <c r="C234" s="9">
        <v>9775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10">
        <f t="shared" si="31"/>
        <v>9775</v>
      </c>
    </row>
    <row r="235" spans="1:32" ht="11.25">
      <c r="A235" s="9" t="s">
        <v>43</v>
      </c>
      <c r="B235" s="9"/>
      <c r="C235" s="9">
        <v>22063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10">
        <f t="shared" si="31"/>
        <v>22063</v>
      </c>
    </row>
    <row r="236" spans="1:32" ht="11.25">
      <c r="A236" s="9" t="s">
        <v>44</v>
      </c>
      <c r="B236" s="9"/>
      <c r="C236" s="9">
        <v>3510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10">
        <f t="shared" si="31"/>
        <v>3510</v>
      </c>
    </row>
    <row r="237" spans="1:32" ht="11.25">
      <c r="A237" s="9" t="s">
        <v>50</v>
      </c>
      <c r="B237" s="9"/>
      <c r="C237" s="9">
        <v>3000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10">
        <f t="shared" si="31"/>
        <v>3000</v>
      </c>
    </row>
    <row r="238" spans="1:32" ht="11.25">
      <c r="A238" s="9" t="s">
        <v>53</v>
      </c>
      <c r="B238" s="9"/>
      <c r="C238" s="9">
        <v>300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10">
        <f t="shared" si="31"/>
        <v>300</v>
      </c>
    </row>
    <row r="239" spans="1:32" ht="11.25">
      <c r="A239" s="9" t="s">
        <v>61</v>
      </c>
      <c r="B239" s="9"/>
      <c r="C239" s="9">
        <v>5080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10">
        <f t="shared" si="31"/>
        <v>5080</v>
      </c>
    </row>
    <row r="240" spans="1:32" s="27" customFormat="1" ht="11.25">
      <c r="A240" s="25" t="s">
        <v>131</v>
      </c>
      <c r="B240" s="25">
        <f aca="true" t="shared" si="32" ref="B240:AF240">SUM(B232:B239)</f>
        <v>0</v>
      </c>
      <c r="C240" s="25">
        <f t="shared" si="32"/>
        <v>178508</v>
      </c>
      <c r="D240" s="25">
        <f t="shared" si="32"/>
        <v>0</v>
      </c>
      <c r="E240" s="25">
        <f t="shared" si="32"/>
        <v>0</v>
      </c>
      <c r="F240" s="25">
        <f t="shared" si="32"/>
        <v>0</v>
      </c>
      <c r="G240" s="25">
        <f t="shared" si="32"/>
        <v>0</v>
      </c>
      <c r="H240" s="25">
        <f t="shared" si="32"/>
        <v>0</v>
      </c>
      <c r="I240" s="25">
        <f t="shared" si="32"/>
        <v>0</v>
      </c>
      <c r="J240" s="25">
        <f t="shared" si="32"/>
        <v>0</v>
      </c>
      <c r="K240" s="25">
        <f t="shared" si="32"/>
        <v>0</v>
      </c>
      <c r="L240" s="25">
        <f t="shared" si="32"/>
        <v>0</v>
      </c>
      <c r="M240" s="25">
        <f t="shared" si="32"/>
        <v>0</v>
      </c>
      <c r="N240" s="25">
        <f t="shared" si="32"/>
        <v>0</v>
      </c>
      <c r="O240" s="25">
        <f t="shared" si="32"/>
        <v>0</v>
      </c>
      <c r="P240" s="25">
        <f t="shared" si="32"/>
        <v>0</v>
      </c>
      <c r="Q240" s="25">
        <f t="shared" si="32"/>
        <v>0</v>
      </c>
      <c r="R240" s="25">
        <f t="shared" si="32"/>
        <v>0</v>
      </c>
      <c r="S240" s="25">
        <f t="shared" si="32"/>
        <v>0</v>
      </c>
      <c r="T240" s="25">
        <f t="shared" si="32"/>
        <v>0</v>
      </c>
      <c r="U240" s="25">
        <f t="shared" si="32"/>
        <v>0</v>
      </c>
      <c r="V240" s="25">
        <f t="shared" si="32"/>
        <v>0</v>
      </c>
      <c r="W240" s="25">
        <f t="shared" si="32"/>
        <v>0</v>
      </c>
      <c r="X240" s="25">
        <f t="shared" si="32"/>
        <v>0</v>
      </c>
      <c r="Y240" s="25">
        <f t="shared" si="32"/>
        <v>0</v>
      </c>
      <c r="Z240" s="25">
        <f t="shared" si="32"/>
        <v>0</v>
      </c>
      <c r="AA240" s="25">
        <f t="shared" si="32"/>
        <v>0</v>
      </c>
      <c r="AB240" s="25">
        <f t="shared" si="32"/>
        <v>0</v>
      </c>
      <c r="AC240" s="25">
        <f t="shared" si="32"/>
        <v>0</v>
      </c>
      <c r="AD240" s="25">
        <f t="shared" si="32"/>
        <v>0</v>
      </c>
      <c r="AE240" s="25">
        <f t="shared" si="32"/>
        <v>0</v>
      </c>
      <c r="AF240" s="25">
        <f t="shared" si="32"/>
        <v>178508</v>
      </c>
    </row>
    <row r="241" spans="1:32" ht="11.25">
      <c r="A241" s="9" t="s">
        <v>40</v>
      </c>
      <c r="B241" s="9"/>
      <c r="C241" s="9"/>
      <c r="D241" s="9">
        <v>2053</v>
      </c>
      <c r="E241" s="9">
        <v>2590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10">
        <f aca="true" t="shared" si="33" ref="AF241:AF261">SUM(B241:AE241)</f>
        <v>4643</v>
      </c>
    </row>
    <row r="242" spans="1:32" ht="11.25">
      <c r="A242" s="9" t="s">
        <v>41</v>
      </c>
      <c r="B242" s="9"/>
      <c r="C242" s="9"/>
      <c r="D242" s="9">
        <v>275575</v>
      </c>
      <c r="E242" s="9">
        <v>399353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10">
        <f t="shared" si="33"/>
        <v>674928</v>
      </c>
    </row>
    <row r="243" spans="1:32" ht="11.25">
      <c r="A243" s="9" t="s">
        <v>42</v>
      </c>
      <c r="B243" s="9"/>
      <c r="C243" s="9"/>
      <c r="D243" s="9">
        <v>26237</v>
      </c>
      <c r="E243" s="9">
        <v>26650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10">
        <f t="shared" si="33"/>
        <v>52887</v>
      </c>
    </row>
    <row r="244" spans="1:32" ht="11.25">
      <c r="A244" s="9" t="s">
        <v>43</v>
      </c>
      <c r="B244" s="9"/>
      <c r="C244" s="9"/>
      <c r="D244" s="9">
        <v>46306</v>
      </c>
      <c r="E244" s="9">
        <v>65295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10">
        <f t="shared" si="33"/>
        <v>111601</v>
      </c>
    </row>
    <row r="245" spans="1:32" ht="11.25">
      <c r="A245" s="9" t="s">
        <v>44</v>
      </c>
      <c r="B245" s="9"/>
      <c r="C245" s="9"/>
      <c r="D245" s="9">
        <v>7367</v>
      </c>
      <c r="E245" s="9">
        <v>10388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10">
        <f t="shared" si="33"/>
        <v>17755</v>
      </c>
    </row>
    <row r="246" spans="1:32" ht="11.25">
      <c r="A246" s="9" t="s">
        <v>46</v>
      </c>
      <c r="B246" s="9"/>
      <c r="C246" s="9"/>
      <c r="D246" s="9">
        <v>2000</v>
      </c>
      <c r="E246" s="9">
        <v>0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10">
        <f t="shared" si="33"/>
        <v>2000</v>
      </c>
    </row>
    <row r="247" spans="1:32" ht="11.25">
      <c r="A247" s="9" t="s">
        <v>47</v>
      </c>
      <c r="B247" s="9"/>
      <c r="C247" s="9"/>
      <c r="D247" s="9">
        <v>15000</v>
      </c>
      <c r="E247" s="9">
        <v>15989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10">
        <f t="shared" si="33"/>
        <v>30989</v>
      </c>
    </row>
    <row r="248" spans="1:32" ht="11.25">
      <c r="A248" s="9" t="s">
        <v>49</v>
      </c>
      <c r="B248" s="9"/>
      <c r="C248" s="9"/>
      <c r="D248" s="9">
        <v>0</v>
      </c>
      <c r="E248" s="9">
        <v>1868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10">
        <f t="shared" si="33"/>
        <v>1868</v>
      </c>
    </row>
    <row r="249" spans="1:32" ht="11.25">
      <c r="A249" s="9" t="s">
        <v>50</v>
      </c>
      <c r="B249" s="9"/>
      <c r="C249" s="9"/>
      <c r="D249" s="9">
        <v>84462</v>
      </c>
      <c r="E249" s="9">
        <v>77975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10">
        <f t="shared" si="33"/>
        <v>162437</v>
      </c>
    </row>
    <row r="250" spans="1:32" ht="11.25">
      <c r="A250" s="9" t="s">
        <v>51</v>
      </c>
      <c r="B250" s="9"/>
      <c r="C250" s="9"/>
      <c r="D250" s="9">
        <f>7000+350000</f>
        <v>357000</v>
      </c>
      <c r="E250" s="9">
        <f>3100+60000</f>
        <v>63100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10">
        <f t="shared" si="33"/>
        <v>420100</v>
      </c>
    </row>
    <row r="251" spans="1:32" ht="11.25">
      <c r="A251" s="9" t="s">
        <v>52</v>
      </c>
      <c r="B251" s="9"/>
      <c r="C251" s="9"/>
      <c r="D251" s="9">
        <v>500</v>
      </c>
      <c r="E251" s="9">
        <v>2589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10">
        <f t="shared" si="33"/>
        <v>3089</v>
      </c>
    </row>
    <row r="252" spans="1:32" ht="11.25">
      <c r="A252" s="9" t="s">
        <v>53</v>
      </c>
      <c r="B252" s="9"/>
      <c r="C252" s="9"/>
      <c r="D252" s="9">
        <v>13824</v>
      </c>
      <c r="E252" s="9">
        <v>39218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10">
        <f t="shared" si="33"/>
        <v>53042</v>
      </c>
    </row>
    <row r="253" spans="1:32" ht="11.25">
      <c r="A253" s="9" t="s">
        <v>55</v>
      </c>
      <c r="B253" s="9"/>
      <c r="C253" s="9"/>
      <c r="D253" s="9">
        <v>1000</v>
      </c>
      <c r="E253" s="9">
        <v>960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10">
        <f t="shared" si="33"/>
        <v>1960</v>
      </c>
    </row>
    <row r="254" spans="1:32" ht="11.25">
      <c r="A254" s="9" t="s">
        <v>56</v>
      </c>
      <c r="B254" s="9"/>
      <c r="C254" s="9"/>
      <c r="D254" s="9">
        <v>1000</v>
      </c>
      <c r="E254" s="9">
        <v>0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10">
        <f t="shared" si="33"/>
        <v>1000</v>
      </c>
    </row>
    <row r="255" spans="1:32" ht="11.25">
      <c r="A255" s="9" t="s">
        <v>57</v>
      </c>
      <c r="B255" s="9"/>
      <c r="C255" s="9"/>
      <c r="D255" s="9">
        <v>3500</v>
      </c>
      <c r="E255" s="9">
        <v>4032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10">
        <f t="shared" si="33"/>
        <v>7532</v>
      </c>
    </row>
    <row r="256" spans="1:32" ht="11.25">
      <c r="A256" s="9" t="s">
        <v>58</v>
      </c>
      <c r="B256" s="9"/>
      <c r="C256" s="9"/>
      <c r="D256" s="9">
        <v>600</v>
      </c>
      <c r="E256" s="9">
        <v>300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10">
        <f t="shared" si="33"/>
        <v>900</v>
      </c>
    </row>
    <row r="257" spans="1:32" ht="11.25">
      <c r="A257" s="9" t="s">
        <v>60</v>
      </c>
      <c r="B257" s="9"/>
      <c r="C257" s="9"/>
      <c r="D257" s="9">
        <v>0</v>
      </c>
      <c r="E257" s="9">
        <v>1750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10">
        <f t="shared" si="33"/>
        <v>1750</v>
      </c>
    </row>
    <row r="258" spans="1:32" ht="11.25">
      <c r="A258" s="9" t="s">
        <v>61</v>
      </c>
      <c r="B258" s="9"/>
      <c r="C258" s="9"/>
      <c r="D258" s="9">
        <v>15451</v>
      </c>
      <c r="E258" s="9">
        <v>18623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10">
        <f t="shared" si="33"/>
        <v>34074</v>
      </c>
    </row>
    <row r="259" spans="1:32" ht="11.25">
      <c r="A259" s="9" t="s">
        <v>62</v>
      </c>
      <c r="B259" s="9"/>
      <c r="C259" s="9"/>
      <c r="D259" s="9">
        <v>0</v>
      </c>
      <c r="E259" s="9">
        <v>100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10">
        <f t="shared" si="33"/>
        <v>100</v>
      </c>
    </row>
    <row r="260" spans="1:32" ht="11.25">
      <c r="A260" s="9" t="s">
        <v>63</v>
      </c>
      <c r="B260" s="9"/>
      <c r="C260" s="9"/>
      <c r="D260" s="9">
        <v>500</v>
      </c>
      <c r="E260" s="9">
        <v>2050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10">
        <f t="shared" si="33"/>
        <v>2550</v>
      </c>
    </row>
    <row r="261" spans="1:32" ht="11.25">
      <c r="A261" s="9" t="s">
        <v>64</v>
      </c>
      <c r="B261" s="9"/>
      <c r="C261" s="9"/>
      <c r="D261" s="9">
        <v>1000</v>
      </c>
      <c r="E261" s="9">
        <v>6500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10">
        <f t="shared" si="33"/>
        <v>7500</v>
      </c>
    </row>
    <row r="262" spans="1:32" s="27" customFormat="1" ht="11.25">
      <c r="A262" s="25" t="s">
        <v>132</v>
      </c>
      <c r="B262" s="25">
        <f aca="true" t="shared" si="34" ref="B262:AF262">SUM(B241:B261)</f>
        <v>0</v>
      </c>
      <c r="C262" s="25">
        <f t="shared" si="34"/>
        <v>0</v>
      </c>
      <c r="D262" s="25">
        <f t="shared" si="34"/>
        <v>853375</v>
      </c>
      <c r="E262" s="25">
        <f t="shared" si="34"/>
        <v>739330</v>
      </c>
      <c r="F262" s="25">
        <f t="shared" si="34"/>
        <v>0</v>
      </c>
      <c r="G262" s="25">
        <f t="shared" si="34"/>
        <v>0</v>
      </c>
      <c r="H262" s="25">
        <f t="shared" si="34"/>
        <v>0</v>
      </c>
      <c r="I262" s="25">
        <f t="shared" si="34"/>
        <v>0</v>
      </c>
      <c r="J262" s="25">
        <f t="shared" si="34"/>
        <v>0</v>
      </c>
      <c r="K262" s="25">
        <f t="shared" si="34"/>
        <v>0</v>
      </c>
      <c r="L262" s="25">
        <f t="shared" si="34"/>
        <v>0</v>
      </c>
      <c r="M262" s="25">
        <f t="shared" si="34"/>
        <v>0</v>
      </c>
      <c r="N262" s="25">
        <f t="shared" si="34"/>
        <v>0</v>
      </c>
      <c r="O262" s="25">
        <f t="shared" si="34"/>
        <v>0</v>
      </c>
      <c r="P262" s="25">
        <f t="shared" si="34"/>
        <v>0</v>
      </c>
      <c r="Q262" s="25">
        <f t="shared" si="34"/>
        <v>0</v>
      </c>
      <c r="R262" s="25">
        <f t="shared" si="34"/>
        <v>0</v>
      </c>
      <c r="S262" s="25">
        <f t="shared" si="34"/>
        <v>0</v>
      </c>
      <c r="T262" s="25">
        <f t="shared" si="34"/>
        <v>0</v>
      </c>
      <c r="U262" s="25">
        <f t="shared" si="34"/>
        <v>0</v>
      </c>
      <c r="V262" s="25">
        <f t="shared" si="34"/>
        <v>0</v>
      </c>
      <c r="W262" s="25">
        <f t="shared" si="34"/>
        <v>0</v>
      </c>
      <c r="X262" s="25">
        <f t="shared" si="34"/>
        <v>0</v>
      </c>
      <c r="Y262" s="25">
        <f t="shared" si="34"/>
        <v>0</v>
      </c>
      <c r="Z262" s="25">
        <f t="shared" si="34"/>
        <v>0</v>
      </c>
      <c r="AA262" s="25">
        <f t="shared" si="34"/>
        <v>0</v>
      </c>
      <c r="AB262" s="25">
        <f t="shared" si="34"/>
        <v>0</v>
      </c>
      <c r="AC262" s="25">
        <f t="shared" si="34"/>
        <v>0</v>
      </c>
      <c r="AD262" s="25">
        <f t="shared" si="34"/>
        <v>0</v>
      </c>
      <c r="AE262" s="25">
        <f t="shared" si="34"/>
        <v>0</v>
      </c>
      <c r="AF262" s="25">
        <f t="shared" si="34"/>
        <v>1592705</v>
      </c>
    </row>
    <row r="263" spans="1:32" ht="11.25">
      <c r="A263" s="9" t="s">
        <v>40</v>
      </c>
      <c r="B263" s="9"/>
      <c r="C263" s="9">
        <v>130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10">
        <f aca="true" t="shared" si="35" ref="AF263:AF270">SUM(B263:AE263)</f>
        <v>130</v>
      </c>
    </row>
    <row r="264" spans="1:32" ht="11.25">
      <c r="A264" s="9" t="s">
        <v>41</v>
      </c>
      <c r="B264" s="9"/>
      <c r="C264" s="9">
        <v>45100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10">
        <f t="shared" si="35"/>
        <v>45100</v>
      </c>
    </row>
    <row r="265" spans="1:32" ht="11.25">
      <c r="A265" s="9" t="s">
        <v>42</v>
      </c>
      <c r="B265" s="9"/>
      <c r="C265" s="9">
        <v>1853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10">
        <f t="shared" si="35"/>
        <v>1853</v>
      </c>
    </row>
    <row r="266" spans="1:32" ht="11.25">
      <c r="A266" s="9" t="s">
        <v>43</v>
      </c>
      <c r="B266" s="9"/>
      <c r="C266" s="9">
        <v>7176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10">
        <f t="shared" si="35"/>
        <v>7176</v>
      </c>
    </row>
    <row r="267" spans="1:32" ht="11.25">
      <c r="A267" s="9" t="s">
        <v>44</v>
      </c>
      <c r="B267" s="9"/>
      <c r="C267" s="9">
        <v>1142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10">
        <f t="shared" si="35"/>
        <v>1142</v>
      </c>
    </row>
    <row r="268" spans="1:32" ht="11.25">
      <c r="A268" s="9" t="s">
        <v>47</v>
      </c>
      <c r="B268" s="9"/>
      <c r="C268" s="9">
        <v>500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10">
        <f t="shared" si="35"/>
        <v>500</v>
      </c>
    </row>
    <row r="269" spans="1:32" ht="11.25">
      <c r="A269" s="9" t="s">
        <v>53</v>
      </c>
      <c r="B269" s="9"/>
      <c r="C269" s="9">
        <v>400</v>
      </c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10">
        <f t="shared" si="35"/>
        <v>400</v>
      </c>
    </row>
    <row r="270" spans="1:32" ht="11.25">
      <c r="A270" s="9" t="s">
        <v>61</v>
      </c>
      <c r="B270" s="9"/>
      <c r="C270" s="9">
        <v>2819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10">
        <f t="shared" si="35"/>
        <v>2819</v>
      </c>
    </row>
    <row r="271" spans="1:32" s="27" customFormat="1" ht="11.25">
      <c r="A271" s="25" t="s">
        <v>133</v>
      </c>
      <c r="B271" s="25">
        <f aca="true" t="shared" si="36" ref="B271:AF271">SUM(B263:B270)</f>
        <v>0</v>
      </c>
      <c r="C271" s="25">
        <f t="shared" si="36"/>
        <v>59120</v>
      </c>
      <c r="D271" s="25">
        <f t="shared" si="36"/>
        <v>0</v>
      </c>
      <c r="E271" s="25">
        <f t="shared" si="36"/>
        <v>0</v>
      </c>
      <c r="F271" s="25">
        <f t="shared" si="36"/>
        <v>0</v>
      </c>
      <c r="G271" s="25">
        <f t="shared" si="36"/>
        <v>0</v>
      </c>
      <c r="H271" s="25">
        <f t="shared" si="36"/>
        <v>0</v>
      </c>
      <c r="I271" s="25">
        <f t="shared" si="36"/>
        <v>0</v>
      </c>
      <c r="J271" s="25">
        <f t="shared" si="36"/>
        <v>0</v>
      </c>
      <c r="K271" s="25">
        <f t="shared" si="36"/>
        <v>0</v>
      </c>
      <c r="L271" s="25">
        <f t="shared" si="36"/>
        <v>0</v>
      </c>
      <c r="M271" s="25">
        <f t="shared" si="36"/>
        <v>0</v>
      </c>
      <c r="N271" s="25">
        <f t="shared" si="36"/>
        <v>0</v>
      </c>
      <c r="O271" s="25">
        <f t="shared" si="36"/>
        <v>0</v>
      </c>
      <c r="P271" s="25">
        <f t="shared" si="36"/>
        <v>0</v>
      </c>
      <c r="Q271" s="25">
        <f t="shared" si="36"/>
        <v>0</v>
      </c>
      <c r="R271" s="25">
        <f t="shared" si="36"/>
        <v>0</v>
      </c>
      <c r="S271" s="25">
        <f t="shared" si="36"/>
        <v>0</v>
      </c>
      <c r="T271" s="25">
        <f t="shared" si="36"/>
        <v>0</v>
      </c>
      <c r="U271" s="25">
        <f t="shared" si="36"/>
        <v>0</v>
      </c>
      <c r="V271" s="25">
        <f t="shared" si="36"/>
        <v>0</v>
      </c>
      <c r="W271" s="25">
        <f t="shared" si="36"/>
        <v>0</v>
      </c>
      <c r="X271" s="25">
        <f t="shared" si="36"/>
        <v>0</v>
      </c>
      <c r="Y271" s="25">
        <f t="shared" si="36"/>
        <v>0</v>
      </c>
      <c r="Z271" s="25">
        <f t="shared" si="36"/>
        <v>0</v>
      </c>
      <c r="AA271" s="25">
        <f t="shared" si="36"/>
        <v>0</v>
      </c>
      <c r="AB271" s="25">
        <f t="shared" si="36"/>
        <v>0</v>
      </c>
      <c r="AC271" s="25">
        <f t="shared" si="36"/>
        <v>0</v>
      </c>
      <c r="AD271" s="25">
        <f t="shared" si="36"/>
        <v>0</v>
      </c>
      <c r="AE271" s="25">
        <f t="shared" si="36"/>
        <v>0</v>
      </c>
      <c r="AF271" s="25">
        <f t="shared" si="36"/>
        <v>59120</v>
      </c>
    </row>
    <row r="272" spans="1:32" ht="11.25">
      <c r="A272" s="9" t="s">
        <v>40</v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>
        <v>2629</v>
      </c>
      <c r="AB272" s="9">
        <v>2663</v>
      </c>
      <c r="AC272" s="9">
        <v>2035</v>
      </c>
      <c r="AD272" s="9"/>
      <c r="AE272" s="9"/>
      <c r="AF272" s="10">
        <f aca="true" t="shared" si="37" ref="AF272:AF292">SUM(B272:AE272)</f>
        <v>7327</v>
      </c>
    </row>
    <row r="273" spans="1:32" ht="11.25">
      <c r="A273" s="9" t="s">
        <v>41</v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>
        <v>980377</v>
      </c>
      <c r="AB273" s="9">
        <v>872083</v>
      </c>
      <c r="AC273" s="9">
        <v>782694</v>
      </c>
      <c r="AD273" s="9"/>
      <c r="AE273" s="9"/>
      <c r="AF273" s="10">
        <f t="shared" si="37"/>
        <v>2635154</v>
      </c>
    </row>
    <row r="274" spans="1:32" ht="11.25">
      <c r="A274" s="9" t="s">
        <v>42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>
        <v>72800</v>
      </c>
      <c r="AB274" s="9">
        <v>64752</v>
      </c>
      <c r="AC274" s="9">
        <v>59931</v>
      </c>
      <c r="AD274" s="9"/>
      <c r="AE274" s="9"/>
      <c r="AF274" s="10">
        <f t="shared" si="37"/>
        <v>197483</v>
      </c>
    </row>
    <row r="275" spans="1:32" ht="11.25">
      <c r="A275" s="9" t="s">
        <v>43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>
        <v>161145</v>
      </c>
      <c r="AB275" s="9">
        <v>143403</v>
      </c>
      <c r="AC275" s="9">
        <v>128941</v>
      </c>
      <c r="AD275" s="9"/>
      <c r="AE275" s="9"/>
      <c r="AF275" s="10">
        <f t="shared" si="37"/>
        <v>433489</v>
      </c>
    </row>
    <row r="276" spans="1:32" ht="11.25">
      <c r="A276" s="9" t="s">
        <v>44</v>
      </c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>
        <v>25637</v>
      </c>
      <c r="AB276" s="9">
        <v>22814</v>
      </c>
      <c r="AC276" s="9">
        <v>20513</v>
      </c>
      <c r="AD276" s="9"/>
      <c r="AE276" s="9"/>
      <c r="AF276" s="10">
        <f t="shared" si="37"/>
        <v>68964</v>
      </c>
    </row>
    <row r="277" spans="1:32" ht="11.25">
      <c r="A277" s="9" t="s">
        <v>45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>
        <v>24200</v>
      </c>
      <c r="AB277" s="9">
        <v>15760</v>
      </c>
      <c r="AC277" s="9"/>
      <c r="AD277" s="9"/>
      <c r="AE277" s="9"/>
      <c r="AF277" s="10">
        <f t="shared" si="37"/>
        <v>39960</v>
      </c>
    </row>
    <row r="278" spans="1:32" ht="11.25">
      <c r="A278" s="9" t="s">
        <v>47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>
        <v>24086</v>
      </c>
      <c r="AB278" s="9">
        <v>23017</v>
      </c>
      <c r="AC278" s="9">
        <v>7200</v>
      </c>
      <c r="AD278" s="9"/>
      <c r="AE278" s="9"/>
      <c r="AF278" s="10">
        <f t="shared" si="37"/>
        <v>54303</v>
      </c>
    </row>
    <row r="279" spans="1:32" ht="11.25">
      <c r="A279" s="9" t="s">
        <v>49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>
        <v>9000</v>
      </c>
      <c r="AB279" s="9">
        <f>5000+5000</f>
        <v>10000</v>
      </c>
      <c r="AC279" s="9">
        <v>5500</v>
      </c>
      <c r="AD279" s="9"/>
      <c r="AE279" s="9"/>
      <c r="AF279" s="10">
        <f t="shared" si="37"/>
        <v>24500</v>
      </c>
    </row>
    <row r="280" spans="1:32" ht="11.25">
      <c r="A280" s="9" t="s">
        <v>50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>
        <v>43632</v>
      </c>
      <c r="AB280" s="9">
        <v>31443</v>
      </c>
      <c r="AC280" s="9">
        <v>12717</v>
      </c>
      <c r="AD280" s="9"/>
      <c r="AE280" s="9"/>
      <c r="AF280" s="10">
        <f t="shared" si="37"/>
        <v>87792</v>
      </c>
    </row>
    <row r="281" spans="1:32" ht="11.25">
      <c r="A281" s="9" t="s">
        <v>51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>
        <v>2000</v>
      </c>
      <c r="AB281" s="9">
        <v>5000</v>
      </c>
      <c r="AC281" s="9">
        <v>1500</v>
      </c>
      <c r="AD281" s="9"/>
      <c r="AE281" s="9"/>
      <c r="AF281" s="10">
        <f t="shared" si="37"/>
        <v>8500</v>
      </c>
    </row>
    <row r="282" spans="1:32" ht="11.25">
      <c r="A282" s="9" t="s">
        <v>52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>
        <v>2000</v>
      </c>
      <c r="AB282" s="9">
        <v>1800</v>
      </c>
      <c r="AC282" s="9">
        <v>2500</v>
      </c>
      <c r="AD282" s="9"/>
      <c r="AE282" s="9"/>
      <c r="AF282" s="10">
        <f t="shared" si="37"/>
        <v>6300</v>
      </c>
    </row>
    <row r="283" spans="1:32" ht="11.25">
      <c r="A283" s="9" t="s">
        <v>53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>
        <v>14500</v>
      </c>
      <c r="AB283" s="9">
        <v>16850</v>
      </c>
      <c r="AC283" s="9">
        <v>6048</v>
      </c>
      <c r="AD283" s="9"/>
      <c r="AE283" s="9"/>
      <c r="AF283" s="10">
        <f t="shared" si="37"/>
        <v>37398</v>
      </c>
    </row>
    <row r="284" spans="1:32" ht="11.25">
      <c r="A284" s="9" t="s">
        <v>55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>
        <v>1020</v>
      </c>
      <c r="AB284" s="9">
        <v>1200</v>
      </c>
      <c r="AC284" s="9">
        <v>1200</v>
      </c>
      <c r="AD284" s="9"/>
      <c r="AE284" s="9"/>
      <c r="AF284" s="10">
        <f t="shared" si="37"/>
        <v>3420</v>
      </c>
    </row>
    <row r="285" spans="1:32" ht="11.25">
      <c r="A285" s="9" t="s">
        <v>57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>
        <v>7500</v>
      </c>
      <c r="AB285" s="9">
        <v>8000</v>
      </c>
      <c r="AC285" s="9">
        <v>6000</v>
      </c>
      <c r="AD285" s="9"/>
      <c r="AE285" s="9"/>
      <c r="AF285" s="10">
        <f t="shared" si="37"/>
        <v>21500</v>
      </c>
    </row>
    <row r="286" spans="1:32" ht="11.25">
      <c r="A286" s="9" t="s">
        <v>134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>
        <v>0</v>
      </c>
      <c r="AB286" s="9">
        <v>0</v>
      </c>
      <c r="AC286" s="9">
        <v>22812</v>
      </c>
      <c r="AD286" s="9"/>
      <c r="AE286" s="9"/>
      <c r="AF286" s="10">
        <f t="shared" si="37"/>
        <v>22812</v>
      </c>
    </row>
    <row r="287" spans="1:32" ht="11.25">
      <c r="A287" s="9" t="s">
        <v>58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>
        <v>1000</v>
      </c>
      <c r="AB287" s="9">
        <v>4800</v>
      </c>
      <c r="AC287" s="9">
        <v>1300</v>
      </c>
      <c r="AD287" s="9"/>
      <c r="AE287" s="9"/>
      <c r="AF287" s="10">
        <f t="shared" si="37"/>
        <v>7100</v>
      </c>
    </row>
    <row r="288" spans="1:32" ht="11.25">
      <c r="A288" s="9" t="s">
        <v>60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>
        <v>1200</v>
      </c>
      <c r="AB288" s="9">
        <v>3200</v>
      </c>
      <c r="AC288" s="9">
        <v>1300</v>
      </c>
      <c r="AD288" s="9"/>
      <c r="AE288" s="9"/>
      <c r="AF288" s="10">
        <f t="shared" si="37"/>
        <v>5700</v>
      </c>
    </row>
    <row r="289" spans="1:32" ht="11.25">
      <c r="A289" s="9" t="s">
        <v>61</v>
      </c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>
        <v>61511</v>
      </c>
      <c r="AB289" s="9">
        <v>52655</v>
      </c>
      <c r="AC289" s="9">
        <v>46940</v>
      </c>
      <c r="AD289" s="9"/>
      <c r="AE289" s="9"/>
      <c r="AF289" s="10">
        <f t="shared" si="37"/>
        <v>161106</v>
      </c>
    </row>
    <row r="290" spans="1:32" ht="11.25">
      <c r="A290" s="9" t="s">
        <v>62</v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>
        <v>0</v>
      </c>
      <c r="AB290" s="9">
        <v>3800</v>
      </c>
      <c r="AC290" s="9">
        <v>1300</v>
      </c>
      <c r="AD290" s="9"/>
      <c r="AE290" s="9"/>
      <c r="AF290" s="10">
        <f t="shared" si="37"/>
        <v>5100</v>
      </c>
    </row>
    <row r="291" spans="1:32" ht="11.25">
      <c r="A291" s="9" t="s">
        <v>63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>
        <v>1800</v>
      </c>
      <c r="AB291" s="9">
        <v>3000</v>
      </c>
      <c r="AC291" s="9">
        <v>3000</v>
      </c>
      <c r="AD291" s="9"/>
      <c r="AE291" s="9"/>
      <c r="AF291" s="10">
        <f t="shared" si="37"/>
        <v>7800</v>
      </c>
    </row>
    <row r="292" spans="1:32" ht="11.25">
      <c r="A292" s="9" t="s">
        <v>64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>
        <v>0</v>
      </c>
      <c r="AB292" s="9">
        <v>6919</v>
      </c>
      <c r="AC292" s="9">
        <v>6026</v>
      </c>
      <c r="AD292" s="9"/>
      <c r="AE292" s="9"/>
      <c r="AF292" s="10">
        <f t="shared" si="37"/>
        <v>12945</v>
      </c>
    </row>
    <row r="293" spans="1:32" s="27" customFormat="1" ht="11.25">
      <c r="A293" s="25" t="s">
        <v>135</v>
      </c>
      <c r="B293" s="25">
        <f aca="true" t="shared" si="38" ref="B293:AF293">SUM(B272:B292)</f>
        <v>0</v>
      </c>
      <c r="C293" s="25">
        <f t="shared" si="38"/>
        <v>0</v>
      </c>
      <c r="D293" s="25">
        <f t="shared" si="38"/>
        <v>0</v>
      </c>
      <c r="E293" s="25">
        <f t="shared" si="38"/>
        <v>0</v>
      </c>
      <c r="F293" s="25">
        <f t="shared" si="38"/>
        <v>0</v>
      </c>
      <c r="G293" s="25">
        <f t="shared" si="38"/>
        <v>0</v>
      </c>
      <c r="H293" s="25">
        <f t="shared" si="38"/>
        <v>0</v>
      </c>
      <c r="I293" s="25">
        <f t="shared" si="38"/>
        <v>0</v>
      </c>
      <c r="J293" s="25">
        <f t="shared" si="38"/>
        <v>0</v>
      </c>
      <c r="K293" s="25">
        <f t="shared" si="38"/>
        <v>0</v>
      </c>
      <c r="L293" s="25">
        <f t="shared" si="38"/>
        <v>0</v>
      </c>
      <c r="M293" s="25">
        <f t="shared" si="38"/>
        <v>0</v>
      </c>
      <c r="N293" s="25">
        <f t="shared" si="38"/>
        <v>0</v>
      </c>
      <c r="O293" s="25">
        <f t="shared" si="38"/>
        <v>0</v>
      </c>
      <c r="P293" s="25">
        <f t="shared" si="38"/>
        <v>0</v>
      </c>
      <c r="Q293" s="25">
        <f t="shared" si="38"/>
        <v>0</v>
      </c>
      <c r="R293" s="25">
        <f t="shared" si="38"/>
        <v>0</v>
      </c>
      <c r="S293" s="25">
        <f t="shared" si="38"/>
        <v>0</v>
      </c>
      <c r="T293" s="25">
        <f t="shared" si="38"/>
        <v>0</v>
      </c>
      <c r="U293" s="25">
        <f t="shared" si="38"/>
        <v>0</v>
      </c>
      <c r="V293" s="25">
        <f t="shared" si="38"/>
        <v>0</v>
      </c>
      <c r="W293" s="25">
        <f t="shared" si="38"/>
        <v>0</v>
      </c>
      <c r="X293" s="25">
        <f t="shared" si="38"/>
        <v>0</v>
      </c>
      <c r="Y293" s="25">
        <f t="shared" si="38"/>
        <v>0</v>
      </c>
      <c r="Z293" s="25">
        <f t="shared" si="38"/>
        <v>0</v>
      </c>
      <c r="AA293" s="25">
        <f t="shared" si="38"/>
        <v>1436037</v>
      </c>
      <c r="AB293" s="25">
        <f t="shared" si="38"/>
        <v>1293159</v>
      </c>
      <c r="AC293" s="25">
        <f t="shared" si="38"/>
        <v>1119457</v>
      </c>
      <c r="AD293" s="25">
        <f t="shared" si="38"/>
        <v>0</v>
      </c>
      <c r="AE293" s="25">
        <f t="shared" si="38"/>
        <v>0</v>
      </c>
      <c r="AF293" s="25">
        <f t="shared" si="38"/>
        <v>3848653</v>
      </c>
    </row>
    <row r="294" spans="1:32" ht="11.25">
      <c r="A294" s="9" t="s">
        <v>40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>
        <v>3734</v>
      </c>
      <c r="AE294" s="9"/>
      <c r="AF294" s="10">
        <f aca="true" t="shared" si="39" ref="AF294:AF310">SUM(B294:AE294)</f>
        <v>3734</v>
      </c>
    </row>
    <row r="295" spans="1:32" ht="11.25">
      <c r="A295" s="9" t="s">
        <v>41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>
        <v>996335</v>
      </c>
      <c r="AE295" s="9"/>
      <c r="AF295" s="10">
        <f t="shared" si="39"/>
        <v>996335</v>
      </c>
    </row>
    <row r="296" spans="1:32" ht="11.25">
      <c r="A296" s="9" t="s">
        <v>42</v>
      </c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>
        <v>69102</v>
      </c>
      <c r="AE296" s="9"/>
      <c r="AF296" s="10">
        <f t="shared" si="39"/>
        <v>69102</v>
      </c>
    </row>
    <row r="297" spans="1:32" ht="11.25">
      <c r="A297" s="9" t="s">
        <v>43</v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>
        <v>163226</v>
      </c>
      <c r="AE297" s="9"/>
      <c r="AF297" s="10">
        <f t="shared" si="39"/>
        <v>163226</v>
      </c>
    </row>
    <row r="298" spans="1:32" ht="11.25">
      <c r="A298" s="9" t="s">
        <v>44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>
        <v>25968</v>
      </c>
      <c r="AE298" s="9"/>
      <c r="AF298" s="10">
        <f t="shared" si="39"/>
        <v>25968</v>
      </c>
    </row>
    <row r="299" spans="1:32" ht="11.25">
      <c r="A299" s="9" t="s">
        <v>46</v>
      </c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>
        <v>5000</v>
      </c>
      <c r="AE299" s="9"/>
      <c r="AF299" s="10">
        <f t="shared" si="39"/>
        <v>5000</v>
      </c>
    </row>
    <row r="300" spans="1:32" ht="11.25">
      <c r="A300" s="9" t="s">
        <v>47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>
        <v>43000</v>
      </c>
      <c r="AE300" s="9"/>
      <c r="AF300" s="10">
        <f t="shared" si="39"/>
        <v>43000</v>
      </c>
    </row>
    <row r="301" spans="1:32" ht="11.25">
      <c r="A301" s="9" t="s">
        <v>49</v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>
        <v>10000</v>
      </c>
      <c r="AE301" s="9"/>
      <c r="AF301" s="10">
        <f t="shared" si="39"/>
        <v>10000</v>
      </c>
    </row>
    <row r="302" spans="1:32" ht="11.25">
      <c r="A302" s="9" t="s">
        <v>50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>
        <v>64489</v>
      </c>
      <c r="AE302" s="9"/>
      <c r="AF302" s="10">
        <f t="shared" si="39"/>
        <v>64489</v>
      </c>
    </row>
    <row r="303" spans="1:32" ht="11.25">
      <c r="A303" s="9" t="s">
        <v>52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>
        <v>3200</v>
      </c>
      <c r="AE303" s="9"/>
      <c r="AF303" s="10">
        <f t="shared" si="39"/>
        <v>3200</v>
      </c>
    </row>
    <row r="304" spans="1:32" ht="11.25">
      <c r="A304" s="9" t="s">
        <v>53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>
        <v>35000</v>
      </c>
      <c r="AE304" s="9"/>
      <c r="AF304" s="10">
        <f t="shared" si="39"/>
        <v>35000</v>
      </c>
    </row>
    <row r="305" spans="1:32" ht="11.25">
      <c r="A305" s="9" t="s">
        <v>55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>
        <v>1600</v>
      </c>
      <c r="AE305" s="9"/>
      <c r="AF305" s="10">
        <f t="shared" si="39"/>
        <v>1600</v>
      </c>
    </row>
    <row r="306" spans="1:32" ht="11.25">
      <c r="A306" s="9" t="s">
        <v>56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>
        <v>3000</v>
      </c>
      <c r="AE306" s="9"/>
      <c r="AF306" s="10">
        <f t="shared" si="39"/>
        <v>3000</v>
      </c>
    </row>
    <row r="307" spans="1:32" ht="11.25">
      <c r="A307" s="9" t="s">
        <v>57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>
        <v>3000</v>
      </c>
      <c r="AE307" s="9"/>
      <c r="AF307" s="10">
        <f t="shared" si="39"/>
        <v>3000</v>
      </c>
    </row>
    <row r="308" spans="1:32" ht="11.25">
      <c r="A308" s="9" t="s">
        <v>58</v>
      </c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>
        <v>800</v>
      </c>
      <c r="AE308" s="9"/>
      <c r="AF308" s="10">
        <f t="shared" si="39"/>
        <v>800</v>
      </c>
    </row>
    <row r="309" spans="1:32" ht="11.25">
      <c r="A309" s="9" t="s">
        <v>60</v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>
        <v>6500</v>
      </c>
      <c r="AE309" s="9"/>
      <c r="AF309" s="10">
        <f t="shared" si="39"/>
        <v>6500</v>
      </c>
    </row>
    <row r="310" spans="1:32" ht="11.25">
      <c r="A310" s="9" t="s">
        <v>61</v>
      </c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>
        <v>65795</v>
      </c>
      <c r="AE310" s="9"/>
      <c r="AF310" s="10">
        <f t="shared" si="39"/>
        <v>65795</v>
      </c>
    </row>
    <row r="311" spans="1:32" s="27" customFormat="1" ht="11.25">
      <c r="A311" s="25" t="s">
        <v>136</v>
      </c>
      <c r="B311" s="25">
        <f aca="true" t="shared" si="40" ref="B311:AF311">SUM(B294:B310)</f>
        <v>0</v>
      </c>
      <c r="C311" s="25">
        <f t="shared" si="40"/>
        <v>0</v>
      </c>
      <c r="D311" s="25">
        <f t="shared" si="40"/>
        <v>0</v>
      </c>
      <c r="E311" s="25">
        <f t="shared" si="40"/>
        <v>0</v>
      </c>
      <c r="F311" s="25">
        <f t="shared" si="40"/>
        <v>0</v>
      </c>
      <c r="G311" s="25">
        <f t="shared" si="40"/>
        <v>0</v>
      </c>
      <c r="H311" s="25">
        <f t="shared" si="40"/>
        <v>0</v>
      </c>
      <c r="I311" s="25">
        <f t="shared" si="40"/>
        <v>0</v>
      </c>
      <c r="J311" s="25">
        <f t="shared" si="40"/>
        <v>0</v>
      </c>
      <c r="K311" s="25">
        <f t="shared" si="40"/>
        <v>0</v>
      </c>
      <c r="L311" s="25">
        <f t="shared" si="40"/>
        <v>0</v>
      </c>
      <c r="M311" s="25">
        <f t="shared" si="40"/>
        <v>0</v>
      </c>
      <c r="N311" s="25">
        <f t="shared" si="40"/>
        <v>0</v>
      </c>
      <c r="O311" s="25">
        <f t="shared" si="40"/>
        <v>0</v>
      </c>
      <c r="P311" s="25">
        <f t="shared" si="40"/>
        <v>0</v>
      </c>
      <c r="Q311" s="25">
        <f t="shared" si="40"/>
        <v>0</v>
      </c>
      <c r="R311" s="25">
        <f t="shared" si="40"/>
        <v>0</v>
      </c>
      <c r="S311" s="25">
        <f t="shared" si="40"/>
        <v>0</v>
      </c>
      <c r="T311" s="25">
        <f t="shared" si="40"/>
        <v>0</v>
      </c>
      <c r="U311" s="25">
        <f t="shared" si="40"/>
        <v>0</v>
      </c>
      <c r="V311" s="25">
        <f t="shared" si="40"/>
        <v>0</v>
      </c>
      <c r="W311" s="25">
        <f t="shared" si="40"/>
        <v>0</v>
      </c>
      <c r="X311" s="25">
        <f t="shared" si="40"/>
        <v>0</v>
      </c>
      <c r="Y311" s="25">
        <f t="shared" si="40"/>
        <v>0</v>
      </c>
      <c r="Z311" s="25">
        <f t="shared" si="40"/>
        <v>0</v>
      </c>
      <c r="AA311" s="25">
        <f t="shared" si="40"/>
        <v>0</v>
      </c>
      <c r="AB311" s="25">
        <f t="shared" si="40"/>
        <v>0</v>
      </c>
      <c r="AC311" s="25">
        <f t="shared" si="40"/>
        <v>0</v>
      </c>
      <c r="AD311" s="25">
        <f t="shared" si="40"/>
        <v>1499749</v>
      </c>
      <c r="AE311" s="25">
        <f t="shared" si="40"/>
        <v>0</v>
      </c>
      <c r="AF311" s="25">
        <f t="shared" si="40"/>
        <v>1499749</v>
      </c>
    </row>
    <row r="312" spans="1:32" ht="11.25">
      <c r="A312" s="9" t="s">
        <v>40</v>
      </c>
      <c r="B312" s="9"/>
      <c r="C312" s="9"/>
      <c r="D312" s="9"/>
      <c r="E312" s="9"/>
      <c r="F312" s="9"/>
      <c r="G312" s="9"/>
      <c r="H312" s="9">
        <v>2962</v>
      </c>
      <c r="I312" s="9"/>
      <c r="J312" s="9"/>
      <c r="K312" s="9"/>
      <c r="L312" s="9"/>
      <c r="M312" s="9"/>
      <c r="N312" s="9"/>
      <c r="O312" s="9">
        <v>2122</v>
      </c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10">
        <f aca="true" t="shared" si="41" ref="AF312:AF322">SUM(B312:AE312)</f>
        <v>5084</v>
      </c>
    </row>
    <row r="313" spans="1:32" ht="11.25">
      <c r="A313" s="9" t="s">
        <v>41</v>
      </c>
      <c r="B313" s="9"/>
      <c r="C313" s="9"/>
      <c r="D313" s="9"/>
      <c r="E313" s="9"/>
      <c r="F313" s="9"/>
      <c r="G313" s="9"/>
      <c r="H313" s="9">
        <v>570713</v>
      </c>
      <c r="I313" s="9"/>
      <c r="J313" s="9"/>
      <c r="K313" s="9"/>
      <c r="L313" s="9"/>
      <c r="M313" s="9"/>
      <c r="N313" s="9"/>
      <c r="O313" s="9">
        <v>561774</v>
      </c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10">
        <f t="shared" si="41"/>
        <v>1132487</v>
      </c>
    </row>
    <row r="314" spans="1:32" ht="11.25">
      <c r="A314" s="9" t="s">
        <v>42</v>
      </c>
      <c r="B314" s="9"/>
      <c r="C314" s="9"/>
      <c r="D314" s="9"/>
      <c r="E314" s="9"/>
      <c r="F314" s="9"/>
      <c r="G314" s="9"/>
      <c r="H314" s="9">
        <v>43930</v>
      </c>
      <c r="I314" s="9"/>
      <c r="J314" s="9"/>
      <c r="K314" s="9"/>
      <c r="L314" s="9"/>
      <c r="M314" s="9"/>
      <c r="N314" s="9"/>
      <c r="O314" s="9">
        <v>46307</v>
      </c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10">
        <f t="shared" si="41"/>
        <v>90237</v>
      </c>
    </row>
    <row r="315" spans="1:32" ht="11.25">
      <c r="A315" s="9" t="s">
        <v>43</v>
      </c>
      <c r="B315" s="9"/>
      <c r="C315" s="9"/>
      <c r="D315" s="9"/>
      <c r="E315" s="9"/>
      <c r="F315" s="9"/>
      <c r="G315" s="9"/>
      <c r="H315" s="9">
        <v>94266</v>
      </c>
      <c r="I315" s="9"/>
      <c r="J315" s="9"/>
      <c r="K315" s="9"/>
      <c r="L315" s="9"/>
      <c r="M315" s="9"/>
      <c r="N315" s="9"/>
      <c r="O315" s="9">
        <v>93395</v>
      </c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10">
        <f t="shared" si="41"/>
        <v>187661</v>
      </c>
    </row>
    <row r="316" spans="1:32" ht="11.25">
      <c r="A316" s="9" t="s">
        <v>44</v>
      </c>
      <c r="B316" s="9"/>
      <c r="C316" s="9"/>
      <c r="D316" s="9"/>
      <c r="E316" s="9"/>
      <c r="F316" s="9"/>
      <c r="G316" s="9"/>
      <c r="H316" s="9">
        <v>14997</v>
      </c>
      <c r="I316" s="9"/>
      <c r="J316" s="9"/>
      <c r="K316" s="9"/>
      <c r="L316" s="9"/>
      <c r="M316" s="9"/>
      <c r="N316" s="9"/>
      <c r="O316" s="9">
        <v>14858</v>
      </c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10">
        <f t="shared" si="41"/>
        <v>29855</v>
      </c>
    </row>
    <row r="317" spans="1:32" ht="11.25">
      <c r="A317" s="9" t="s">
        <v>47</v>
      </c>
      <c r="B317" s="9"/>
      <c r="C317" s="9"/>
      <c r="D317" s="9"/>
      <c r="E317" s="9"/>
      <c r="F317" s="9"/>
      <c r="G317" s="9"/>
      <c r="H317" s="9">
        <v>0</v>
      </c>
      <c r="I317" s="9"/>
      <c r="J317" s="9"/>
      <c r="K317" s="9"/>
      <c r="L317" s="9"/>
      <c r="M317" s="9"/>
      <c r="N317" s="9"/>
      <c r="O317" s="9">
        <v>622</v>
      </c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10">
        <f t="shared" si="41"/>
        <v>622</v>
      </c>
    </row>
    <row r="318" spans="1:32" ht="11.25">
      <c r="A318" s="9" t="s">
        <v>50</v>
      </c>
      <c r="B318" s="9"/>
      <c r="C318" s="9"/>
      <c r="D318" s="9"/>
      <c r="E318" s="9"/>
      <c r="F318" s="9"/>
      <c r="G318" s="9"/>
      <c r="H318" s="9">
        <v>159061</v>
      </c>
      <c r="I318" s="9"/>
      <c r="J318" s="9"/>
      <c r="K318" s="9"/>
      <c r="L318" s="9"/>
      <c r="M318" s="9"/>
      <c r="N318" s="9"/>
      <c r="O318" s="9">
        <v>102063</v>
      </c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10">
        <f t="shared" si="41"/>
        <v>261124</v>
      </c>
    </row>
    <row r="319" spans="1:32" ht="11.25">
      <c r="A319" s="9" t="s">
        <v>52</v>
      </c>
      <c r="B319" s="9"/>
      <c r="C319" s="9"/>
      <c r="D319" s="9"/>
      <c r="E319" s="9"/>
      <c r="F319" s="9"/>
      <c r="G319" s="9"/>
      <c r="H319" s="9">
        <v>0</v>
      </c>
      <c r="I319" s="9"/>
      <c r="J319" s="9"/>
      <c r="K319" s="9"/>
      <c r="L319" s="9"/>
      <c r="M319" s="9"/>
      <c r="N319" s="9"/>
      <c r="O319" s="9">
        <v>1000</v>
      </c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10">
        <f t="shared" si="41"/>
        <v>1000</v>
      </c>
    </row>
    <row r="320" spans="1:32" ht="11.25">
      <c r="A320" s="9" t="s">
        <v>53</v>
      </c>
      <c r="B320" s="9"/>
      <c r="C320" s="9"/>
      <c r="D320" s="9"/>
      <c r="E320" s="9"/>
      <c r="F320" s="9"/>
      <c r="G320" s="9"/>
      <c r="H320" s="9">
        <v>33752</v>
      </c>
      <c r="I320" s="9"/>
      <c r="J320" s="9"/>
      <c r="K320" s="9"/>
      <c r="L320" s="9"/>
      <c r="M320" s="9"/>
      <c r="N320" s="9"/>
      <c r="O320" s="9">
        <v>19226</v>
      </c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10">
        <f t="shared" si="41"/>
        <v>52978</v>
      </c>
    </row>
    <row r="321" spans="1:32" ht="11.25">
      <c r="A321" s="9" t="s">
        <v>55</v>
      </c>
      <c r="B321" s="9"/>
      <c r="C321" s="9"/>
      <c r="D321" s="9"/>
      <c r="E321" s="9"/>
      <c r="F321" s="9"/>
      <c r="G321" s="9"/>
      <c r="H321" s="9">
        <v>0</v>
      </c>
      <c r="I321" s="9"/>
      <c r="J321" s="9"/>
      <c r="K321" s="9"/>
      <c r="L321" s="9"/>
      <c r="M321" s="9"/>
      <c r="N321" s="9"/>
      <c r="O321" s="9">
        <v>1500</v>
      </c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10">
        <f t="shared" si="41"/>
        <v>1500</v>
      </c>
    </row>
    <row r="322" spans="1:32" ht="11.25">
      <c r="A322" s="9" t="s">
        <v>61</v>
      </c>
      <c r="B322" s="9"/>
      <c r="C322" s="9"/>
      <c r="D322" s="9"/>
      <c r="E322" s="9"/>
      <c r="F322" s="9"/>
      <c r="G322" s="9"/>
      <c r="H322" s="9">
        <v>32913</v>
      </c>
      <c r="I322" s="9"/>
      <c r="J322" s="9"/>
      <c r="K322" s="9"/>
      <c r="L322" s="9"/>
      <c r="M322" s="9"/>
      <c r="N322" s="9"/>
      <c r="O322" s="9">
        <v>30690</v>
      </c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10">
        <f t="shared" si="41"/>
        <v>63603</v>
      </c>
    </row>
    <row r="323" spans="1:32" s="27" customFormat="1" ht="11.25">
      <c r="A323" s="25" t="s">
        <v>137</v>
      </c>
      <c r="B323" s="25">
        <f aca="true" t="shared" si="42" ref="B323:AF323">SUM(B312:B322)</f>
        <v>0</v>
      </c>
      <c r="C323" s="25">
        <f t="shared" si="42"/>
        <v>0</v>
      </c>
      <c r="D323" s="25">
        <f t="shared" si="42"/>
        <v>0</v>
      </c>
      <c r="E323" s="25">
        <f t="shared" si="42"/>
        <v>0</v>
      </c>
      <c r="F323" s="25">
        <f t="shared" si="42"/>
        <v>0</v>
      </c>
      <c r="G323" s="25">
        <f t="shared" si="42"/>
        <v>0</v>
      </c>
      <c r="H323" s="25">
        <f t="shared" si="42"/>
        <v>952594</v>
      </c>
      <c r="I323" s="25">
        <f t="shared" si="42"/>
        <v>0</v>
      </c>
      <c r="J323" s="25">
        <f t="shared" si="42"/>
        <v>0</v>
      </c>
      <c r="K323" s="25">
        <f t="shared" si="42"/>
        <v>0</v>
      </c>
      <c r="L323" s="25">
        <f t="shared" si="42"/>
        <v>0</v>
      </c>
      <c r="M323" s="25">
        <f t="shared" si="42"/>
        <v>0</v>
      </c>
      <c r="N323" s="25">
        <f t="shared" si="42"/>
        <v>0</v>
      </c>
      <c r="O323" s="25">
        <f t="shared" si="42"/>
        <v>873557</v>
      </c>
      <c r="P323" s="25">
        <f t="shared" si="42"/>
        <v>0</v>
      </c>
      <c r="Q323" s="25">
        <f t="shared" si="42"/>
        <v>0</v>
      </c>
      <c r="R323" s="25">
        <f t="shared" si="42"/>
        <v>0</v>
      </c>
      <c r="S323" s="25">
        <f t="shared" si="42"/>
        <v>0</v>
      </c>
      <c r="T323" s="25">
        <f t="shared" si="42"/>
        <v>0</v>
      </c>
      <c r="U323" s="25">
        <f t="shared" si="42"/>
        <v>0</v>
      </c>
      <c r="V323" s="25">
        <f t="shared" si="42"/>
        <v>0</v>
      </c>
      <c r="W323" s="25">
        <f t="shared" si="42"/>
        <v>0</v>
      </c>
      <c r="X323" s="25">
        <f t="shared" si="42"/>
        <v>0</v>
      </c>
      <c r="Y323" s="25">
        <f t="shared" si="42"/>
        <v>0</v>
      </c>
      <c r="Z323" s="25">
        <f t="shared" si="42"/>
        <v>0</v>
      </c>
      <c r="AA323" s="25">
        <f t="shared" si="42"/>
        <v>0</v>
      </c>
      <c r="AB323" s="25">
        <f t="shared" si="42"/>
        <v>0</v>
      </c>
      <c r="AC323" s="25">
        <f t="shared" si="42"/>
        <v>0</v>
      </c>
      <c r="AD323" s="25">
        <f t="shared" si="42"/>
        <v>0</v>
      </c>
      <c r="AE323" s="25">
        <f t="shared" si="42"/>
        <v>0</v>
      </c>
      <c r="AF323" s="25">
        <f t="shared" si="42"/>
        <v>1826151</v>
      </c>
    </row>
    <row r="324" spans="1:32" ht="11.25">
      <c r="A324" s="9" t="s">
        <v>40</v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>
        <v>126</v>
      </c>
      <c r="AF324" s="10">
        <f aca="true" t="shared" si="43" ref="AF324:AF330">SUM(B324:AE324)</f>
        <v>126</v>
      </c>
    </row>
    <row r="325" spans="1:32" ht="11.25">
      <c r="A325" s="9" t="s">
        <v>41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>
        <v>308616</v>
      </c>
      <c r="AF325" s="10">
        <f t="shared" si="43"/>
        <v>308616</v>
      </c>
    </row>
    <row r="326" spans="1:32" ht="11.25">
      <c r="A326" s="9" t="s">
        <v>42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>
        <v>24836</v>
      </c>
      <c r="AF326" s="10">
        <f t="shared" si="43"/>
        <v>24836</v>
      </c>
    </row>
    <row r="327" spans="1:32" ht="11.25">
      <c r="A327" s="9" t="s">
        <v>43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>
        <v>51352</v>
      </c>
      <c r="AF327" s="10">
        <f t="shared" si="43"/>
        <v>51352</v>
      </c>
    </row>
    <row r="328" spans="1:32" ht="11.25">
      <c r="A328" s="9" t="s">
        <v>44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>
        <v>8170</v>
      </c>
      <c r="AF328" s="10">
        <f t="shared" si="43"/>
        <v>8170</v>
      </c>
    </row>
    <row r="329" spans="1:32" ht="11.25">
      <c r="A329" s="9" t="s">
        <v>53</v>
      </c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>
        <v>150</v>
      </c>
      <c r="AF329" s="10">
        <f t="shared" si="43"/>
        <v>150</v>
      </c>
    </row>
    <row r="330" spans="1:32" ht="11.25">
      <c r="A330" s="9" t="s">
        <v>61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>
        <v>12068</v>
      </c>
      <c r="AF330" s="10">
        <f t="shared" si="43"/>
        <v>12068</v>
      </c>
    </row>
    <row r="331" spans="1:32" s="27" customFormat="1" ht="11.25">
      <c r="A331" s="25" t="s">
        <v>138</v>
      </c>
      <c r="B331" s="25">
        <f aca="true" t="shared" si="44" ref="B331:AF331">SUM(B324:B330)</f>
        <v>0</v>
      </c>
      <c r="C331" s="25">
        <f t="shared" si="44"/>
        <v>0</v>
      </c>
      <c r="D331" s="25">
        <f t="shared" si="44"/>
        <v>0</v>
      </c>
      <c r="E331" s="25">
        <f t="shared" si="44"/>
        <v>0</v>
      </c>
      <c r="F331" s="25">
        <f t="shared" si="44"/>
        <v>0</v>
      </c>
      <c r="G331" s="25">
        <f t="shared" si="44"/>
        <v>0</v>
      </c>
      <c r="H331" s="25">
        <f t="shared" si="44"/>
        <v>0</v>
      </c>
      <c r="I331" s="25">
        <f t="shared" si="44"/>
        <v>0</v>
      </c>
      <c r="J331" s="25">
        <f t="shared" si="44"/>
        <v>0</v>
      </c>
      <c r="K331" s="25">
        <f t="shared" si="44"/>
        <v>0</v>
      </c>
      <c r="L331" s="25">
        <f t="shared" si="44"/>
        <v>0</v>
      </c>
      <c r="M331" s="25">
        <f t="shared" si="44"/>
        <v>0</v>
      </c>
      <c r="N331" s="25">
        <f t="shared" si="44"/>
        <v>0</v>
      </c>
      <c r="O331" s="25">
        <f t="shared" si="44"/>
        <v>0</v>
      </c>
      <c r="P331" s="25">
        <f t="shared" si="44"/>
        <v>0</v>
      </c>
      <c r="Q331" s="25">
        <f t="shared" si="44"/>
        <v>0</v>
      </c>
      <c r="R331" s="25">
        <f t="shared" si="44"/>
        <v>0</v>
      </c>
      <c r="S331" s="25">
        <f t="shared" si="44"/>
        <v>0</v>
      </c>
      <c r="T331" s="25">
        <f t="shared" si="44"/>
        <v>0</v>
      </c>
      <c r="U331" s="25">
        <f t="shared" si="44"/>
        <v>0</v>
      </c>
      <c r="V331" s="25">
        <f t="shared" si="44"/>
        <v>0</v>
      </c>
      <c r="W331" s="25">
        <f t="shared" si="44"/>
        <v>0</v>
      </c>
      <c r="X331" s="25">
        <f t="shared" si="44"/>
        <v>0</v>
      </c>
      <c r="Y331" s="25">
        <f t="shared" si="44"/>
        <v>0</v>
      </c>
      <c r="Z331" s="25">
        <f t="shared" si="44"/>
        <v>0</v>
      </c>
      <c r="AA331" s="25">
        <f t="shared" si="44"/>
        <v>0</v>
      </c>
      <c r="AB331" s="25">
        <f t="shared" si="44"/>
        <v>0</v>
      </c>
      <c r="AC331" s="25">
        <f t="shared" si="44"/>
        <v>0</v>
      </c>
      <c r="AD331" s="25">
        <f t="shared" si="44"/>
        <v>0</v>
      </c>
      <c r="AE331" s="25">
        <f t="shared" si="44"/>
        <v>405318</v>
      </c>
      <c r="AF331" s="25">
        <f t="shared" si="44"/>
        <v>405318</v>
      </c>
    </row>
    <row r="332" spans="1:32" ht="11.25">
      <c r="A332" s="10" t="s">
        <v>139</v>
      </c>
      <c r="B332" s="25">
        <f aca="true" t="shared" si="45" ref="B332:AF332">B4+B227+B231</f>
        <v>3763078</v>
      </c>
      <c r="C332" s="25">
        <f t="shared" si="45"/>
        <v>6508927</v>
      </c>
      <c r="D332" s="25">
        <f t="shared" si="45"/>
        <v>4570150</v>
      </c>
      <c r="E332" s="25">
        <f t="shared" si="45"/>
        <v>1986248</v>
      </c>
      <c r="F332" s="25">
        <f t="shared" si="45"/>
        <v>3334881</v>
      </c>
      <c r="G332" s="25">
        <f t="shared" si="45"/>
        <v>4257330</v>
      </c>
      <c r="H332" s="25">
        <f t="shared" si="45"/>
        <v>7037626</v>
      </c>
      <c r="I332" s="25">
        <f t="shared" si="45"/>
        <v>3403743</v>
      </c>
      <c r="J332" s="25">
        <f t="shared" si="45"/>
        <v>2624760</v>
      </c>
      <c r="K332" s="25">
        <f t="shared" si="45"/>
        <v>3374958</v>
      </c>
      <c r="L332" s="25">
        <f t="shared" si="45"/>
        <v>2802099</v>
      </c>
      <c r="M332" s="25">
        <f t="shared" si="45"/>
        <v>2786797</v>
      </c>
      <c r="N332" s="25">
        <f t="shared" si="45"/>
        <v>3717605</v>
      </c>
      <c r="O332" s="25">
        <f t="shared" si="45"/>
        <v>2936881</v>
      </c>
      <c r="P332" s="25">
        <f t="shared" si="45"/>
        <v>4540738</v>
      </c>
      <c r="Q332" s="25">
        <f t="shared" si="45"/>
        <v>4298106</v>
      </c>
      <c r="R332" s="25">
        <f t="shared" si="45"/>
        <v>4876000</v>
      </c>
      <c r="S332" s="25">
        <f t="shared" si="45"/>
        <v>2711777</v>
      </c>
      <c r="T332" s="25">
        <f t="shared" si="45"/>
        <v>2947305</v>
      </c>
      <c r="U332" s="25">
        <f t="shared" si="45"/>
        <v>1995021</v>
      </c>
      <c r="V332" s="25">
        <f t="shared" si="45"/>
        <v>2424286</v>
      </c>
      <c r="W332" s="25">
        <f t="shared" si="45"/>
        <v>2922290</v>
      </c>
      <c r="X332" s="25">
        <f t="shared" si="45"/>
        <v>1423670</v>
      </c>
      <c r="Y332" s="25">
        <f t="shared" si="45"/>
        <v>3223598</v>
      </c>
      <c r="Z332" s="25">
        <f t="shared" si="45"/>
        <v>695902</v>
      </c>
      <c r="AA332" s="25">
        <f t="shared" si="45"/>
        <v>1436037</v>
      </c>
      <c r="AB332" s="25">
        <f t="shared" si="45"/>
        <v>1293159</v>
      </c>
      <c r="AC332" s="25">
        <f t="shared" si="45"/>
        <v>1119457</v>
      </c>
      <c r="AD332" s="25">
        <f t="shared" si="45"/>
        <v>1507749</v>
      </c>
      <c r="AE332" s="25">
        <f t="shared" si="45"/>
        <v>405318</v>
      </c>
      <c r="AF332" s="25">
        <f t="shared" si="45"/>
        <v>90925496</v>
      </c>
    </row>
    <row r="333" spans="2:32" ht="11.2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 spans="2:32" ht="11.25" hidden="1">
      <c r="B334" s="29">
        <v>801</v>
      </c>
      <c r="C334" s="16">
        <f>SUM(AF19,AF39,AF54,AF56,AF79,AF92,AF107,AF134,AF154,AF174,AF184,AF204,AF215,AF226)</f>
        <v>81438972</v>
      </c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 spans="2:32" ht="11.25" hidden="1">
      <c r="B335" s="29">
        <v>851</v>
      </c>
      <c r="C335" s="16">
        <f>SUM(AF230)</f>
        <v>76320</v>
      </c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</row>
    <row r="336" spans="2:32" ht="11.25" hidden="1">
      <c r="B336" s="29">
        <v>854</v>
      </c>
      <c r="C336" s="16">
        <f>SUM(AF240,AF262,AF271,AF293,AF311,AF323,AF331)</f>
        <v>9410204</v>
      </c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</row>
    <row r="337" spans="2:32" ht="11.2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</row>
    <row r="338" spans="2:32" ht="11.2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</row>
    <row r="339" spans="2:32" ht="11.2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</row>
    <row r="340" spans="2:32" ht="11.2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 spans="2:32" ht="11.2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 spans="2:32" ht="11.2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</row>
    <row r="343" spans="2:32" ht="11.2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</row>
    <row r="344" spans="2:32" ht="11.2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</row>
    <row r="345" spans="2:32" ht="11.2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</row>
    <row r="346" spans="2:32" ht="11.2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</row>
    <row r="347" spans="2:32" ht="11.2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 spans="2:32" ht="11.2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 spans="2:32" ht="11.2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</row>
    <row r="350" spans="2:32" ht="11.2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</row>
  </sheetData>
  <mergeCells count="1">
    <mergeCell ref="B1:L1"/>
  </mergeCells>
  <printOptions/>
  <pageMargins left="0.5511811023622047" right="0.5118110236220472" top="0.5905511811023623" bottom="0.3937007874015748" header="0.2755905511811024" footer="0.1968503937007874"/>
  <pageSetup horizontalDpi="600" verticalDpi="600" orientation="landscape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="105" zoomScaleNormal="10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7" sqref="N27"/>
    </sheetView>
  </sheetViews>
  <sheetFormatPr defaultColWidth="9.00390625" defaultRowHeight="12.75"/>
  <cols>
    <col min="1" max="1" width="4.75390625" style="30" customWidth="1"/>
    <col min="2" max="2" width="7.25390625" style="31" customWidth="1"/>
    <col min="3" max="4" width="5.25390625" style="31" hidden="1" customWidth="1"/>
    <col min="5" max="5" width="6.125" style="31" hidden="1" customWidth="1"/>
    <col min="6" max="6" width="6.625" style="31" hidden="1" customWidth="1"/>
    <col min="7" max="7" width="5.875" style="31" customWidth="1"/>
    <col min="8" max="8" width="9.875" style="31" customWidth="1"/>
    <col min="9" max="9" width="10.375" style="30" customWidth="1"/>
    <col min="10" max="11" width="10.375" style="31" customWidth="1"/>
    <col min="12" max="12" width="7.75390625" style="31" customWidth="1"/>
    <col min="13" max="13" width="10.625" style="31" customWidth="1"/>
    <col min="14" max="14" width="10.375" style="31" customWidth="1"/>
    <col min="15" max="15" width="10.625" style="31" customWidth="1"/>
    <col min="16" max="16" width="9.375" style="31" customWidth="1"/>
    <col min="17" max="17" width="9.625" style="31" customWidth="1"/>
    <col min="18" max="18" width="8.00390625" style="31" customWidth="1"/>
    <col min="19" max="19" width="7.875" style="31" customWidth="1"/>
    <col min="20" max="20" width="10.625" style="30" customWidth="1"/>
    <col min="21" max="22" width="9.375" style="31" customWidth="1"/>
    <col min="23" max="23" width="9.75390625" style="31" customWidth="1"/>
    <col min="24" max="24" width="9.75390625" style="31" hidden="1" customWidth="1"/>
    <col min="25" max="25" width="7.875" style="31" customWidth="1"/>
    <col min="26" max="26" width="10.375" style="31" customWidth="1"/>
    <col min="27" max="27" width="7.00390625" style="31" customWidth="1"/>
    <col min="28" max="28" width="10.875" style="30" hidden="1" customWidth="1"/>
    <col min="29" max="29" width="11.00390625" style="31" hidden="1" customWidth="1"/>
    <col min="30" max="16384" width="9.125" style="31" customWidth="1"/>
  </cols>
  <sheetData>
    <row r="1" spans="1:27" ht="23.25">
      <c r="A1" s="81" t="s">
        <v>141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9" s="37" customFormat="1" ht="12.75" customHeight="1">
      <c r="A2" s="32"/>
      <c r="B2" s="33"/>
      <c r="C2" s="33"/>
      <c r="D2" s="33"/>
      <c r="E2" s="33"/>
      <c r="F2" s="33"/>
      <c r="G2" s="33"/>
      <c r="H2" s="33" t="s">
        <v>142</v>
      </c>
      <c r="I2" s="32"/>
      <c r="J2" s="33"/>
      <c r="K2" s="33"/>
      <c r="L2" s="33"/>
      <c r="M2" s="33"/>
      <c r="N2" s="80" t="s">
        <v>143</v>
      </c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35"/>
      <c r="AB2" s="36"/>
      <c r="AC2" s="36"/>
    </row>
    <row r="3" spans="1:29" s="37" customFormat="1" ht="12">
      <c r="A3" s="38" t="s">
        <v>144</v>
      </c>
      <c r="B3" s="34"/>
      <c r="C3" s="33" t="s">
        <v>145</v>
      </c>
      <c r="D3" s="33"/>
      <c r="E3" s="33"/>
      <c r="F3" s="33"/>
      <c r="G3" s="33"/>
      <c r="H3" s="34" t="s">
        <v>146</v>
      </c>
      <c r="I3" s="38" t="s">
        <v>142</v>
      </c>
      <c r="J3" s="33" t="s">
        <v>145</v>
      </c>
      <c r="K3" s="33"/>
      <c r="L3" s="33"/>
      <c r="M3" s="35"/>
      <c r="N3" s="34" t="s">
        <v>143</v>
      </c>
      <c r="O3" s="33" t="s">
        <v>147</v>
      </c>
      <c r="P3" s="33"/>
      <c r="Q3" s="33"/>
      <c r="R3" s="33"/>
      <c r="S3" s="33"/>
      <c r="T3" s="32"/>
      <c r="U3" s="33"/>
      <c r="V3" s="33"/>
      <c r="W3" s="33"/>
      <c r="X3" s="34"/>
      <c r="Y3" s="34" t="s">
        <v>148</v>
      </c>
      <c r="Z3" s="35"/>
      <c r="AA3" s="34" t="s">
        <v>149</v>
      </c>
      <c r="AB3" s="36"/>
      <c r="AC3" s="36"/>
    </row>
    <row r="4" spans="1:29" s="37" customFormat="1" ht="12">
      <c r="A4" s="38" t="s">
        <v>150</v>
      </c>
      <c r="B4" s="34" t="s">
        <v>151</v>
      </c>
      <c r="C4" s="34"/>
      <c r="D4" s="34"/>
      <c r="E4" s="34"/>
      <c r="F4" s="34" t="s">
        <v>152</v>
      </c>
      <c r="G4" s="34" t="s">
        <v>153</v>
      </c>
      <c r="H4" s="34" t="s">
        <v>154</v>
      </c>
      <c r="I4" s="38" t="s">
        <v>139</v>
      </c>
      <c r="J4" s="34" t="s">
        <v>155</v>
      </c>
      <c r="K4" s="34" t="s">
        <v>156</v>
      </c>
      <c r="L4" s="34" t="s">
        <v>157</v>
      </c>
      <c r="M4" s="34" t="s">
        <v>112</v>
      </c>
      <c r="N4" s="34" t="s">
        <v>139</v>
      </c>
      <c r="O4" s="34" t="s">
        <v>158</v>
      </c>
      <c r="P4" s="34" t="s">
        <v>159</v>
      </c>
      <c r="Q4" s="34" t="s">
        <v>160</v>
      </c>
      <c r="R4" s="34" t="s">
        <v>161</v>
      </c>
      <c r="S4" s="34" t="s">
        <v>162</v>
      </c>
      <c r="T4" s="38" t="s">
        <v>163</v>
      </c>
      <c r="U4" s="34" t="s">
        <v>164</v>
      </c>
      <c r="V4" s="34" t="s">
        <v>165</v>
      </c>
      <c r="W4" s="34" t="s">
        <v>166</v>
      </c>
      <c r="X4" s="34" t="s">
        <v>167</v>
      </c>
      <c r="Y4" s="34" t="s">
        <v>168</v>
      </c>
      <c r="Z4" s="34" t="s">
        <v>112</v>
      </c>
      <c r="AA4" s="34" t="s">
        <v>169</v>
      </c>
      <c r="AB4" s="36"/>
      <c r="AC4" s="36"/>
    </row>
    <row r="5" spans="1:29" s="37" customFormat="1" ht="12">
      <c r="A5" s="36"/>
      <c r="B5" s="34" t="s">
        <v>170</v>
      </c>
      <c r="C5" s="39" t="s">
        <v>171</v>
      </c>
      <c r="D5" s="39" t="s">
        <v>172</v>
      </c>
      <c r="E5" s="39" t="s">
        <v>173</v>
      </c>
      <c r="F5" s="40" t="s">
        <v>174</v>
      </c>
      <c r="G5" s="40" t="s">
        <v>175</v>
      </c>
      <c r="H5" s="34" t="s">
        <v>176</v>
      </c>
      <c r="I5" s="36"/>
      <c r="J5" s="35"/>
      <c r="K5" s="35"/>
      <c r="L5" s="41" t="s">
        <v>177</v>
      </c>
      <c r="M5" s="35"/>
      <c r="N5" s="42"/>
      <c r="O5" s="34" t="s">
        <v>178</v>
      </c>
      <c r="P5" s="42" t="s">
        <v>179</v>
      </c>
      <c r="Q5" s="34" t="s">
        <v>180</v>
      </c>
      <c r="R5" s="34" t="s">
        <v>181</v>
      </c>
      <c r="S5" s="34" t="s">
        <v>182</v>
      </c>
      <c r="T5" s="38" t="s">
        <v>178</v>
      </c>
      <c r="U5" s="34" t="s">
        <v>183</v>
      </c>
      <c r="V5" s="34" t="s">
        <v>184</v>
      </c>
      <c r="W5" s="34" t="s">
        <v>185</v>
      </c>
      <c r="X5" s="34"/>
      <c r="Y5" s="34" t="s">
        <v>186</v>
      </c>
      <c r="Z5" s="35"/>
      <c r="AA5" s="34" t="s">
        <v>187</v>
      </c>
      <c r="AB5" s="38" t="s">
        <v>188</v>
      </c>
      <c r="AC5" s="38" t="s">
        <v>189</v>
      </c>
    </row>
    <row r="6" spans="1:29" ht="12.75">
      <c r="A6" s="43">
        <v>4</v>
      </c>
      <c r="B6" s="44">
        <v>81</v>
      </c>
      <c r="C6" s="45">
        <v>76</v>
      </c>
      <c r="D6" s="45"/>
      <c r="E6" s="45"/>
      <c r="F6" s="45"/>
      <c r="G6" s="45">
        <v>1</v>
      </c>
      <c r="H6" s="46">
        <v>71200</v>
      </c>
      <c r="I6" s="47">
        <f aca="true" t="shared" si="0" ref="I6:I42">J6+K6+L6</f>
        <v>733617</v>
      </c>
      <c r="J6" s="46">
        <f>(B6*400+C6*124+D6*87+E6*64+F6*29)*12+G6*6500+2000</f>
        <v>510388</v>
      </c>
      <c r="K6" s="46">
        <v>219729</v>
      </c>
      <c r="L6" s="46">
        <v>3500</v>
      </c>
      <c r="M6" s="48">
        <f aca="true" t="shared" si="1" ref="M6:M42">SUM(H6+I6)</f>
        <v>804817</v>
      </c>
      <c r="N6" s="49">
        <f aca="true" t="shared" si="2" ref="N6:N39">SUM(O6:W6)-T6</f>
        <v>733617</v>
      </c>
      <c r="O6" s="46">
        <v>433236</v>
      </c>
      <c r="P6" s="46">
        <v>34814</v>
      </c>
      <c r="Q6" s="46">
        <v>70630</v>
      </c>
      <c r="R6" s="46">
        <v>11237</v>
      </c>
      <c r="S6" s="46">
        <v>2000</v>
      </c>
      <c r="T6" s="50">
        <f aca="true" t="shared" si="3" ref="T6:T42">SUM(O6:S6)</f>
        <v>551917</v>
      </c>
      <c r="U6" s="46">
        <v>27014</v>
      </c>
      <c r="V6" s="46">
        <v>59148</v>
      </c>
      <c r="W6" s="46">
        <f aca="true" t="shared" si="4" ref="W6:W39">M6-O6-P6-Q6-R6-S6-U6-V6-Y6</f>
        <v>95538</v>
      </c>
      <c r="X6" s="46"/>
      <c r="Y6" s="46">
        <v>71200</v>
      </c>
      <c r="Z6" s="48">
        <f aca="true" t="shared" si="5" ref="Z6:Z42">N6+Y6</f>
        <v>804817</v>
      </c>
      <c r="AA6" s="49">
        <f aca="true" t="shared" si="6" ref="AA6:AA43">Z6/B6/12</f>
        <v>828</v>
      </c>
      <c r="AB6" s="51">
        <f aca="true" t="shared" si="7" ref="AB6:AB42">SUM(U6:W6)</f>
        <v>181700</v>
      </c>
      <c r="AC6" s="51"/>
    </row>
    <row r="7" spans="1:29" ht="12.75">
      <c r="A7" s="43">
        <v>5</v>
      </c>
      <c r="B7" s="44">
        <v>116</v>
      </c>
      <c r="C7" s="45"/>
      <c r="D7" s="45"/>
      <c r="E7" s="45">
        <v>112</v>
      </c>
      <c r="F7" s="45"/>
      <c r="G7" s="45">
        <v>1</v>
      </c>
      <c r="H7" s="46">
        <v>20778</v>
      </c>
      <c r="I7" s="47">
        <f t="shared" si="0"/>
        <v>978113</v>
      </c>
      <c r="J7" s="46">
        <f>(B7*400+C7*124+D7*87+E7*64+F7*29)*12+G7*6500+1500</f>
        <v>650816</v>
      </c>
      <c r="K7" s="46">
        <v>322497</v>
      </c>
      <c r="L7" s="46">
        <v>4800</v>
      </c>
      <c r="M7" s="48">
        <f t="shared" si="1"/>
        <v>998891</v>
      </c>
      <c r="N7" s="49">
        <f t="shared" si="2"/>
        <v>981829</v>
      </c>
      <c r="O7" s="46">
        <v>529569</v>
      </c>
      <c r="P7" s="46">
        <v>43856</v>
      </c>
      <c r="Q7" s="46">
        <v>87202</v>
      </c>
      <c r="R7" s="46">
        <v>13873</v>
      </c>
      <c r="S7" s="46">
        <v>0</v>
      </c>
      <c r="T7" s="50">
        <f t="shared" si="3"/>
        <v>674500</v>
      </c>
      <c r="U7" s="46">
        <v>31745</v>
      </c>
      <c r="V7" s="46">
        <v>85384</v>
      </c>
      <c r="W7" s="46">
        <f t="shared" si="4"/>
        <v>190200</v>
      </c>
      <c r="X7" s="46"/>
      <c r="Y7" s="46">
        <f>10840+6222</f>
        <v>17062</v>
      </c>
      <c r="Z7" s="48">
        <f t="shared" si="5"/>
        <v>998891</v>
      </c>
      <c r="AA7" s="49">
        <f t="shared" si="6"/>
        <v>718</v>
      </c>
      <c r="AB7" s="51">
        <f t="shared" si="7"/>
        <v>307329</v>
      </c>
      <c r="AC7" s="51"/>
    </row>
    <row r="8" spans="1:29" ht="12.75">
      <c r="A8" s="43">
        <v>6</v>
      </c>
      <c r="B8" s="44">
        <v>148</v>
      </c>
      <c r="C8" s="45"/>
      <c r="D8" s="45"/>
      <c r="E8" s="45"/>
      <c r="F8" s="45">
        <v>142</v>
      </c>
      <c r="G8" s="45">
        <v>3</v>
      </c>
      <c r="H8" s="46">
        <v>10532</v>
      </c>
      <c r="I8" s="47">
        <f t="shared" si="0"/>
        <v>1263468</v>
      </c>
      <c r="J8" s="46">
        <f>(B8*400+C8*124+D8*87+E8*64+F8*29)*12+G8*6500+4000+60000</f>
        <v>843316</v>
      </c>
      <c r="K8" s="46">
        <f>180344+116298+106819+3092+2279</f>
        <v>408832</v>
      </c>
      <c r="L8" s="46">
        <f>7320+4000</f>
        <v>11320</v>
      </c>
      <c r="M8" s="48">
        <f t="shared" si="1"/>
        <v>1274000</v>
      </c>
      <c r="N8" s="49">
        <f t="shared" si="2"/>
        <v>1269500</v>
      </c>
      <c r="O8" s="46">
        <v>736940</v>
      </c>
      <c r="P8" s="46">
        <v>57305</v>
      </c>
      <c r="Q8" s="46">
        <v>119818</v>
      </c>
      <c r="R8" s="46">
        <v>19062</v>
      </c>
      <c r="S8" s="46">
        <v>4000</v>
      </c>
      <c r="T8" s="50">
        <f t="shared" si="3"/>
        <v>937125</v>
      </c>
      <c r="U8" s="46">
        <v>40699</v>
      </c>
      <c r="V8" s="46">
        <v>109911</v>
      </c>
      <c r="W8" s="46">
        <f t="shared" si="4"/>
        <v>181765</v>
      </c>
      <c r="X8" s="46"/>
      <c r="Y8" s="46">
        <v>4500</v>
      </c>
      <c r="Z8" s="48">
        <f t="shared" si="5"/>
        <v>1274000</v>
      </c>
      <c r="AA8" s="49">
        <f t="shared" si="6"/>
        <v>717</v>
      </c>
      <c r="AB8" s="51">
        <f t="shared" si="7"/>
        <v>332375</v>
      </c>
      <c r="AC8" s="51"/>
    </row>
    <row r="9" spans="1:29" s="52" customFormat="1" ht="12.75">
      <c r="A9" s="43">
        <v>7</v>
      </c>
      <c r="B9" s="44">
        <v>130</v>
      </c>
      <c r="C9" s="45"/>
      <c r="D9" s="45"/>
      <c r="E9" s="45">
        <v>111</v>
      </c>
      <c r="F9" s="45"/>
      <c r="G9" s="45">
        <v>6</v>
      </c>
      <c r="H9" s="46">
        <v>26473</v>
      </c>
      <c r="I9" s="47">
        <f t="shared" si="0"/>
        <v>1217410</v>
      </c>
      <c r="J9" s="46">
        <f>(B9*400+C9*124+D9*87+E9*64+F9*29)*12+G9*6500+3000+147000</f>
        <v>898248</v>
      </c>
      <c r="K9" s="46">
        <v>317162</v>
      </c>
      <c r="L9" s="46">
        <v>2000</v>
      </c>
      <c r="M9" s="48">
        <f t="shared" si="1"/>
        <v>1243883</v>
      </c>
      <c r="N9" s="49">
        <f t="shared" si="2"/>
        <v>1243760</v>
      </c>
      <c r="O9" s="46">
        <v>666400</v>
      </c>
      <c r="P9" s="46">
        <v>54180</v>
      </c>
      <c r="Q9" s="46">
        <v>107370</v>
      </c>
      <c r="R9" s="46">
        <v>17082</v>
      </c>
      <c r="S9" s="46">
        <v>3600</v>
      </c>
      <c r="T9" s="50">
        <f t="shared" si="3"/>
        <v>848632</v>
      </c>
      <c r="U9" s="46">
        <v>40271</v>
      </c>
      <c r="V9" s="46">
        <v>88258</v>
      </c>
      <c r="W9" s="46">
        <f t="shared" si="4"/>
        <v>266599</v>
      </c>
      <c r="X9" s="46"/>
      <c r="Y9" s="46">
        <v>123</v>
      </c>
      <c r="Z9" s="48">
        <f t="shared" si="5"/>
        <v>1243883</v>
      </c>
      <c r="AA9" s="49">
        <f t="shared" si="6"/>
        <v>797</v>
      </c>
      <c r="AB9" s="47">
        <f t="shared" si="7"/>
        <v>395128</v>
      </c>
      <c r="AC9" s="47"/>
    </row>
    <row r="10" spans="1:29" ht="12.75">
      <c r="A10" s="43">
        <v>8</v>
      </c>
      <c r="B10" s="44">
        <v>107</v>
      </c>
      <c r="C10" s="45"/>
      <c r="D10" s="45">
        <v>98</v>
      </c>
      <c r="E10" s="45"/>
      <c r="F10" s="45"/>
      <c r="G10" s="45">
        <v>1</v>
      </c>
      <c r="H10" s="46">
        <v>12190</v>
      </c>
      <c r="I10" s="47">
        <f t="shared" si="0"/>
        <v>933667</v>
      </c>
      <c r="J10" s="46">
        <f>(B10*400+C10*124+D10*87+E10*64+F10*29)*12+G10*6500+3000+60000</f>
        <v>685412</v>
      </c>
      <c r="K10" s="46">
        <v>237037</v>
      </c>
      <c r="L10" s="46">
        <f>10218+1000</f>
        <v>11218</v>
      </c>
      <c r="M10" s="48">
        <f t="shared" si="1"/>
        <v>945857</v>
      </c>
      <c r="N10" s="49">
        <f t="shared" si="2"/>
        <v>918443</v>
      </c>
      <c r="O10" s="46">
        <v>446408</v>
      </c>
      <c r="P10" s="46">
        <v>37617</v>
      </c>
      <c r="Q10" s="46">
        <v>74540</v>
      </c>
      <c r="R10" s="46">
        <v>11859</v>
      </c>
      <c r="S10" s="46">
        <v>10218</v>
      </c>
      <c r="T10" s="50">
        <f t="shared" si="3"/>
        <v>580642</v>
      </c>
      <c r="U10" s="46">
        <v>28660</v>
      </c>
      <c r="V10" s="46">
        <v>84865</v>
      </c>
      <c r="W10" s="46">
        <f t="shared" si="4"/>
        <v>224276</v>
      </c>
      <c r="X10" s="46"/>
      <c r="Y10" s="46">
        <v>27414</v>
      </c>
      <c r="Z10" s="48">
        <f t="shared" si="5"/>
        <v>945857</v>
      </c>
      <c r="AA10" s="49">
        <f t="shared" si="6"/>
        <v>737</v>
      </c>
      <c r="AB10" s="51">
        <f t="shared" si="7"/>
        <v>337801</v>
      </c>
      <c r="AC10" s="51"/>
    </row>
    <row r="11" spans="1:29" ht="12.75">
      <c r="A11" s="43">
        <v>9</v>
      </c>
      <c r="B11" s="44">
        <v>105</v>
      </c>
      <c r="C11" s="45"/>
      <c r="D11" s="45">
        <v>98</v>
      </c>
      <c r="E11" s="45"/>
      <c r="F11" s="45"/>
      <c r="G11" s="45">
        <v>1</v>
      </c>
      <c r="H11" s="46">
        <v>-41722</v>
      </c>
      <c r="I11" s="47">
        <f t="shared" si="0"/>
        <v>878125</v>
      </c>
      <c r="J11" s="46">
        <f>(B11*400+C11*124+D11*87+E11*64+F11*29)*12+G11*6500</f>
        <v>612812</v>
      </c>
      <c r="K11" s="46">
        <v>264813</v>
      </c>
      <c r="L11" s="46">
        <v>500</v>
      </c>
      <c r="M11" s="48">
        <f t="shared" si="1"/>
        <v>836403</v>
      </c>
      <c r="N11" s="49">
        <f t="shared" si="2"/>
        <v>900469</v>
      </c>
      <c r="O11" s="46">
        <v>595201</v>
      </c>
      <c r="P11" s="46">
        <v>48341</v>
      </c>
      <c r="Q11" s="46">
        <v>98135</v>
      </c>
      <c r="R11" s="46">
        <v>15612</v>
      </c>
      <c r="S11" s="46">
        <v>0</v>
      </c>
      <c r="T11" s="50">
        <f t="shared" si="3"/>
        <v>757289</v>
      </c>
      <c r="U11" s="46">
        <v>33636</v>
      </c>
      <c r="V11" s="46">
        <v>65000</v>
      </c>
      <c r="W11" s="46">
        <f t="shared" si="4"/>
        <v>44544</v>
      </c>
      <c r="X11" s="46"/>
      <c r="Y11" s="46">
        <v>-64066</v>
      </c>
      <c r="Z11" s="48">
        <f t="shared" si="5"/>
        <v>836403</v>
      </c>
      <c r="AA11" s="49">
        <f t="shared" si="6"/>
        <v>664</v>
      </c>
      <c r="AB11" s="51">
        <f t="shared" si="7"/>
        <v>143180</v>
      </c>
      <c r="AC11" s="51"/>
    </row>
    <row r="12" spans="1:29" ht="12.75">
      <c r="A12" s="43">
        <v>11</v>
      </c>
      <c r="B12" s="44">
        <v>112</v>
      </c>
      <c r="C12" s="45"/>
      <c r="D12" s="45">
        <v>110</v>
      </c>
      <c r="E12" s="45"/>
      <c r="F12" s="45"/>
      <c r="G12" s="45">
        <v>0</v>
      </c>
      <c r="H12" s="46">
        <v>19357</v>
      </c>
      <c r="I12" s="47">
        <f t="shared" si="0"/>
        <v>1041629</v>
      </c>
      <c r="J12" s="46">
        <f>(B12*400+C12*124+D12*87+E12*64+F12*29)*12+G12*6500+60000</f>
        <v>712440</v>
      </c>
      <c r="K12" s="46">
        <v>321189</v>
      </c>
      <c r="L12" s="46">
        <v>8000</v>
      </c>
      <c r="M12" s="48">
        <f t="shared" si="1"/>
        <v>1060986</v>
      </c>
      <c r="N12" s="49">
        <f t="shared" si="2"/>
        <v>1065547</v>
      </c>
      <c r="O12" s="46">
        <v>628648</v>
      </c>
      <c r="P12" s="46">
        <v>49499</v>
      </c>
      <c r="Q12" s="46">
        <v>101964</v>
      </c>
      <c r="R12" s="46">
        <v>16222</v>
      </c>
      <c r="S12" s="46">
        <v>3000</v>
      </c>
      <c r="T12" s="50">
        <f t="shared" si="3"/>
        <v>799333</v>
      </c>
      <c r="U12" s="46">
        <v>33363</v>
      </c>
      <c r="V12" s="46">
        <v>85998</v>
      </c>
      <c r="W12" s="46">
        <f t="shared" si="4"/>
        <v>146853</v>
      </c>
      <c r="X12" s="46"/>
      <c r="Y12" s="46">
        <v>-4561</v>
      </c>
      <c r="Z12" s="48">
        <f t="shared" si="5"/>
        <v>1060986</v>
      </c>
      <c r="AA12" s="49">
        <f t="shared" si="6"/>
        <v>789</v>
      </c>
      <c r="AB12" s="51">
        <f t="shared" si="7"/>
        <v>266214</v>
      </c>
      <c r="AC12" s="51"/>
    </row>
    <row r="13" spans="1:29" ht="12.75">
      <c r="A13" s="43">
        <v>13</v>
      </c>
      <c r="B13" s="44">
        <v>168</v>
      </c>
      <c r="C13" s="45"/>
      <c r="D13" s="45"/>
      <c r="E13" s="45"/>
      <c r="F13" s="45">
        <v>156</v>
      </c>
      <c r="G13" s="45"/>
      <c r="H13" s="46">
        <v>1350</v>
      </c>
      <c r="I13" s="47">
        <f t="shared" si="0"/>
        <v>1305501</v>
      </c>
      <c r="J13" s="46">
        <f>(B13*400+C13*124+D13*87+E13*64+F13*29)*12+G13*6500</f>
        <v>860688</v>
      </c>
      <c r="K13" s="46">
        <v>435313</v>
      </c>
      <c r="L13" s="46">
        <v>9500</v>
      </c>
      <c r="M13" s="48">
        <f t="shared" si="1"/>
        <v>1306851</v>
      </c>
      <c r="N13" s="49">
        <f t="shared" si="2"/>
        <v>1305501</v>
      </c>
      <c r="O13" s="46">
        <v>811059</v>
      </c>
      <c r="P13" s="46">
        <v>63177</v>
      </c>
      <c r="Q13" s="46">
        <v>131587</v>
      </c>
      <c r="R13" s="46">
        <v>21010</v>
      </c>
      <c r="S13" s="46">
        <v>4000</v>
      </c>
      <c r="T13" s="50">
        <f t="shared" si="3"/>
        <v>1030833</v>
      </c>
      <c r="U13" s="46">
        <v>48047</v>
      </c>
      <c r="V13" s="46">
        <v>106075</v>
      </c>
      <c r="W13" s="46">
        <f t="shared" si="4"/>
        <v>120546</v>
      </c>
      <c r="X13" s="46"/>
      <c r="Y13" s="46">
        <v>1350</v>
      </c>
      <c r="Z13" s="48">
        <f t="shared" si="5"/>
        <v>1306851</v>
      </c>
      <c r="AA13" s="49">
        <f t="shared" si="6"/>
        <v>648</v>
      </c>
      <c r="AB13" s="51">
        <f t="shared" si="7"/>
        <v>274668</v>
      </c>
      <c r="AC13" s="51"/>
    </row>
    <row r="14" spans="1:29" ht="12.75">
      <c r="A14" s="43">
        <v>14</v>
      </c>
      <c r="B14" s="44">
        <v>78</v>
      </c>
      <c r="C14" s="45">
        <v>64</v>
      </c>
      <c r="D14" s="45"/>
      <c r="E14" s="45"/>
      <c r="F14" s="45"/>
      <c r="G14" s="45"/>
      <c r="H14" s="46">
        <v>-2662</v>
      </c>
      <c r="I14" s="47">
        <f t="shared" si="0"/>
        <v>714357</v>
      </c>
      <c r="J14" s="46">
        <f>(B14*400+C14*124+D14*87+E14*64+F14*29)*12+G14*6500+50000</f>
        <v>519632</v>
      </c>
      <c r="K14" s="46">
        <v>191725</v>
      </c>
      <c r="L14" s="46">
        <v>3000</v>
      </c>
      <c r="M14" s="48">
        <f t="shared" si="1"/>
        <v>711695</v>
      </c>
      <c r="N14" s="49">
        <f t="shared" si="2"/>
        <v>710695</v>
      </c>
      <c r="O14" s="46">
        <v>410159</v>
      </c>
      <c r="P14" s="46">
        <v>33313</v>
      </c>
      <c r="Q14" s="46">
        <v>66025</v>
      </c>
      <c r="R14" s="46">
        <v>10504</v>
      </c>
      <c r="S14" s="46">
        <v>3000</v>
      </c>
      <c r="T14" s="50">
        <f t="shared" si="3"/>
        <v>523001</v>
      </c>
      <c r="U14" s="46">
        <v>22794</v>
      </c>
      <c r="V14" s="46">
        <v>53683</v>
      </c>
      <c r="W14" s="46">
        <f t="shared" si="4"/>
        <v>111217</v>
      </c>
      <c r="X14" s="46"/>
      <c r="Y14" s="46">
        <v>1000</v>
      </c>
      <c r="Z14" s="48">
        <f t="shared" si="5"/>
        <v>711695</v>
      </c>
      <c r="AA14" s="49">
        <f t="shared" si="6"/>
        <v>760</v>
      </c>
      <c r="AB14" s="51">
        <f t="shared" si="7"/>
        <v>187694</v>
      </c>
      <c r="AC14" s="51"/>
    </row>
    <row r="15" spans="1:29" ht="12.75">
      <c r="A15" s="43">
        <v>15</v>
      </c>
      <c r="B15" s="44">
        <v>114</v>
      </c>
      <c r="C15" s="45"/>
      <c r="D15" s="45">
        <v>107</v>
      </c>
      <c r="E15" s="45"/>
      <c r="F15" s="45"/>
      <c r="G15" s="45"/>
      <c r="H15" s="46">
        <v>3549</v>
      </c>
      <c r="I15" s="47">
        <f t="shared" si="0"/>
        <v>1062554</v>
      </c>
      <c r="J15" s="46">
        <f>(B15*400+C15*124+D15*87+E15*64+F15*29)*12+G15*6500+3500+65000</f>
        <v>727408</v>
      </c>
      <c r="K15" s="46">
        <v>333646</v>
      </c>
      <c r="L15" s="46">
        <v>1500</v>
      </c>
      <c r="M15" s="48">
        <f t="shared" si="1"/>
        <v>1066103</v>
      </c>
      <c r="N15" s="49">
        <f t="shared" si="2"/>
        <v>1061998</v>
      </c>
      <c r="O15" s="46">
        <v>582805</v>
      </c>
      <c r="P15" s="46">
        <v>48130</v>
      </c>
      <c r="Q15" s="46">
        <v>97164</v>
      </c>
      <c r="R15" s="46">
        <v>15478</v>
      </c>
      <c r="S15" s="46">
        <v>2000</v>
      </c>
      <c r="T15" s="50">
        <f t="shared" si="3"/>
        <v>745577</v>
      </c>
      <c r="U15" s="46">
        <v>32616</v>
      </c>
      <c r="V15" s="46">
        <v>99850</v>
      </c>
      <c r="W15" s="46">
        <f t="shared" si="4"/>
        <v>183955</v>
      </c>
      <c r="X15" s="46"/>
      <c r="Y15" s="46">
        <v>4105</v>
      </c>
      <c r="Z15" s="48">
        <f t="shared" si="5"/>
        <v>1066103</v>
      </c>
      <c r="AA15" s="49">
        <f t="shared" si="6"/>
        <v>779</v>
      </c>
      <c r="AB15" s="51">
        <f t="shared" si="7"/>
        <v>316421</v>
      </c>
      <c r="AC15" s="51"/>
    </row>
    <row r="16" spans="1:29" ht="12.75">
      <c r="A16" s="43">
        <v>16</v>
      </c>
      <c r="B16" s="44">
        <v>110</v>
      </c>
      <c r="C16" s="45"/>
      <c r="D16" s="45">
        <v>97</v>
      </c>
      <c r="E16" s="45"/>
      <c r="F16" s="45"/>
      <c r="G16" s="45">
        <v>1</v>
      </c>
      <c r="H16" s="46">
        <v>23917</v>
      </c>
      <c r="I16" s="47">
        <f t="shared" si="0"/>
        <v>930409</v>
      </c>
      <c r="J16" s="46">
        <f>(B16*400+C16*124+D16*87+E16*64+F16*29)*12+G16*6500+4000</f>
        <v>639768</v>
      </c>
      <c r="K16" s="46">
        <v>282641</v>
      </c>
      <c r="L16" s="46">
        <v>8000</v>
      </c>
      <c r="M16" s="48">
        <f t="shared" si="1"/>
        <v>954326</v>
      </c>
      <c r="N16" s="49">
        <f t="shared" si="2"/>
        <v>945602</v>
      </c>
      <c r="O16" s="46">
        <v>593110</v>
      </c>
      <c r="P16" s="46">
        <v>49173</v>
      </c>
      <c r="Q16" s="46">
        <v>97540</v>
      </c>
      <c r="R16" s="46">
        <v>15518</v>
      </c>
      <c r="S16" s="46">
        <v>3000</v>
      </c>
      <c r="T16" s="50">
        <f t="shared" si="3"/>
        <v>758341</v>
      </c>
      <c r="U16" s="46">
        <v>33132</v>
      </c>
      <c r="V16" s="46">
        <v>74730</v>
      </c>
      <c r="W16" s="46">
        <f t="shared" si="4"/>
        <v>79399</v>
      </c>
      <c r="X16" s="46"/>
      <c r="Y16" s="46">
        <f>2224+6500</f>
        <v>8724</v>
      </c>
      <c r="Z16" s="48">
        <f t="shared" si="5"/>
        <v>954326</v>
      </c>
      <c r="AA16" s="49">
        <f t="shared" si="6"/>
        <v>723</v>
      </c>
      <c r="AB16" s="51">
        <f t="shared" si="7"/>
        <v>187261</v>
      </c>
      <c r="AC16" s="51"/>
    </row>
    <row r="17" spans="1:29" ht="12.75">
      <c r="A17" s="43">
        <v>18</v>
      </c>
      <c r="B17" s="44">
        <v>142</v>
      </c>
      <c r="C17" s="45"/>
      <c r="D17" s="45">
        <v>107</v>
      </c>
      <c r="E17" s="45"/>
      <c r="F17" s="45"/>
      <c r="G17" s="45">
        <v>1</v>
      </c>
      <c r="H17" s="46">
        <v>36892</v>
      </c>
      <c r="I17" s="47">
        <f t="shared" si="0"/>
        <v>1196074</v>
      </c>
      <c r="J17" s="46">
        <f>(B17*400+C17*124+D17*87+E17*64+F17*29)*12+G17*6500+60000</f>
        <v>859808</v>
      </c>
      <c r="K17" s="46">
        <v>332266</v>
      </c>
      <c r="L17" s="46">
        <v>4000</v>
      </c>
      <c r="M17" s="48">
        <f t="shared" si="1"/>
        <v>1232966</v>
      </c>
      <c r="N17" s="49">
        <f t="shared" si="2"/>
        <v>1223965</v>
      </c>
      <c r="O17" s="46">
        <v>670107</v>
      </c>
      <c r="P17" s="46">
        <v>52825</v>
      </c>
      <c r="Q17" s="46">
        <v>110033</v>
      </c>
      <c r="R17" s="46">
        <v>17505</v>
      </c>
      <c r="S17" s="46">
        <f>4000+6500</f>
        <v>10500</v>
      </c>
      <c r="T17" s="50">
        <f t="shared" si="3"/>
        <v>860970</v>
      </c>
      <c r="U17" s="46">
        <v>38345</v>
      </c>
      <c r="V17" s="46">
        <v>93650</v>
      </c>
      <c r="W17" s="46">
        <f t="shared" si="4"/>
        <v>231000</v>
      </c>
      <c r="X17" s="46"/>
      <c r="Y17" s="46">
        <v>9001</v>
      </c>
      <c r="Z17" s="48">
        <f t="shared" si="5"/>
        <v>1232966</v>
      </c>
      <c r="AA17" s="49">
        <f t="shared" si="6"/>
        <v>724</v>
      </c>
      <c r="AB17" s="51">
        <f t="shared" si="7"/>
        <v>362995</v>
      </c>
      <c r="AC17" s="51"/>
    </row>
    <row r="18" spans="1:29" ht="12.75">
      <c r="A18" s="43">
        <v>19</v>
      </c>
      <c r="B18" s="44">
        <v>110</v>
      </c>
      <c r="C18" s="45"/>
      <c r="D18" s="45">
        <v>105</v>
      </c>
      <c r="E18" s="45"/>
      <c r="F18" s="45"/>
      <c r="G18" s="45">
        <v>3</v>
      </c>
      <c r="H18" s="46">
        <v>16386</v>
      </c>
      <c r="I18" s="47">
        <f t="shared" si="0"/>
        <v>1079008</v>
      </c>
      <c r="J18" s="46">
        <f>(B18*400+C18*124+D18*87+E18*64+F18*29)*12+G18*6500+5000+125000</f>
        <v>787120</v>
      </c>
      <c r="K18" s="46">
        <v>289488</v>
      </c>
      <c r="L18" s="46">
        <v>2400</v>
      </c>
      <c r="M18" s="48">
        <f t="shared" si="1"/>
        <v>1095394</v>
      </c>
      <c r="N18" s="49">
        <f t="shared" si="2"/>
        <v>1051756</v>
      </c>
      <c r="O18" s="46">
        <v>511269</v>
      </c>
      <c r="P18" s="46">
        <v>42514</v>
      </c>
      <c r="Q18" s="46">
        <v>85283</v>
      </c>
      <c r="R18" s="46">
        <v>13568</v>
      </c>
      <c r="S18" s="46">
        <v>0</v>
      </c>
      <c r="T18" s="50">
        <f t="shared" si="3"/>
        <v>652634</v>
      </c>
      <c r="U18" s="46">
        <v>32366</v>
      </c>
      <c r="V18" s="46">
        <v>75156</v>
      </c>
      <c r="W18" s="46">
        <f t="shared" si="4"/>
        <v>291600</v>
      </c>
      <c r="X18" s="46"/>
      <c r="Y18" s="46">
        <v>43638</v>
      </c>
      <c r="Z18" s="48">
        <f t="shared" si="5"/>
        <v>1095394</v>
      </c>
      <c r="AA18" s="49">
        <f t="shared" si="6"/>
        <v>830</v>
      </c>
      <c r="AB18" s="51">
        <f t="shared" si="7"/>
        <v>399122</v>
      </c>
      <c r="AC18" s="51"/>
    </row>
    <row r="19" spans="1:29" ht="12.75">
      <c r="A19" s="43">
        <v>21</v>
      </c>
      <c r="B19" s="44">
        <v>100</v>
      </c>
      <c r="C19" s="45"/>
      <c r="D19" s="45">
        <v>97</v>
      </c>
      <c r="E19" s="45"/>
      <c r="F19" s="45"/>
      <c r="G19" s="45">
        <v>2</v>
      </c>
      <c r="H19" s="46">
        <v>73931</v>
      </c>
      <c r="I19" s="47">
        <f t="shared" si="0"/>
        <v>864967</v>
      </c>
      <c r="J19" s="46">
        <f>(B19*400+C19*124+D19*87+E19*64+F19*29)*12+G19*6500+9000</f>
        <v>603268</v>
      </c>
      <c r="K19" s="46">
        <v>259199</v>
      </c>
      <c r="L19" s="46">
        <v>2500</v>
      </c>
      <c r="M19" s="48">
        <f t="shared" si="1"/>
        <v>938898</v>
      </c>
      <c r="N19" s="49">
        <f t="shared" si="2"/>
        <v>893540</v>
      </c>
      <c r="O19" s="46">
        <v>524209</v>
      </c>
      <c r="P19" s="46">
        <v>42538</v>
      </c>
      <c r="Q19" s="46">
        <v>87261</v>
      </c>
      <c r="R19" s="46">
        <v>13882</v>
      </c>
      <c r="S19" s="46">
        <v>3000</v>
      </c>
      <c r="T19" s="50">
        <f t="shared" si="3"/>
        <v>670890</v>
      </c>
      <c r="U19" s="46">
        <v>33500</v>
      </c>
      <c r="V19" s="46">
        <v>69800</v>
      </c>
      <c r="W19" s="46">
        <f t="shared" si="4"/>
        <v>119350</v>
      </c>
      <c r="X19" s="46"/>
      <c r="Y19" s="46">
        <v>45358</v>
      </c>
      <c r="Z19" s="48">
        <f t="shared" si="5"/>
        <v>938898</v>
      </c>
      <c r="AA19" s="49">
        <f t="shared" si="6"/>
        <v>782</v>
      </c>
      <c r="AB19" s="51">
        <f t="shared" si="7"/>
        <v>222650</v>
      </c>
      <c r="AC19" s="51"/>
    </row>
    <row r="20" spans="1:29" ht="12.75">
      <c r="A20" s="43">
        <v>22</v>
      </c>
      <c r="B20" s="44">
        <v>128</v>
      </c>
      <c r="C20" s="45"/>
      <c r="D20" s="45"/>
      <c r="E20" s="45">
        <v>121</v>
      </c>
      <c r="F20" s="45"/>
      <c r="G20" s="45">
        <v>8</v>
      </c>
      <c r="H20" s="46">
        <v>25676</v>
      </c>
      <c r="I20" s="47">
        <f t="shared" si="0"/>
        <v>1099680</v>
      </c>
      <c r="J20" s="46">
        <f>(B20*400+C20*124+D20*87+E20*64+F20*29)*12+G20*6500</f>
        <v>759328</v>
      </c>
      <c r="K20" s="46">
        <v>336352</v>
      </c>
      <c r="L20" s="46">
        <v>4000</v>
      </c>
      <c r="M20" s="48">
        <f t="shared" si="1"/>
        <v>1125356</v>
      </c>
      <c r="N20" s="49">
        <f t="shared" si="2"/>
        <v>1099484</v>
      </c>
      <c r="O20" s="46">
        <v>694230</v>
      </c>
      <c r="P20" s="46">
        <v>55689</v>
      </c>
      <c r="Q20" s="46">
        <v>113641</v>
      </c>
      <c r="R20" s="46">
        <v>18079</v>
      </c>
      <c r="S20" s="46">
        <v>6000</v>
      </c>
      <c r="T20" s="50">
        <f t="shared" si="3"/>
        <v>887639</v>
      </c>
      <c r="U20" s="46">
        <v>40580</v>
      </c>
      <c r="V20" s="46">
        <v>94010</v>
      </c>
      <c r="W20" s="46">
        <f t="shared" si="4"/>
        <v>77255</v>
      </c>
      <c r="X20" s="46"/>
      <c r="Y20" s="46">
        <v>25872</v>
      </c>
      <c r="Z20" s="48">
        <f t="shared" si="5"/>
        <v>1125356</v>
      </c>
      <c r="AA20" s="49">
        <f t="shared" si="6"/>
        <v>733</v>
      </c>
      <c r="AB20" s="51">
        <f t="shared" si="7"/>
        <v>211845</v>
      </c>
      <c r="AC20" s="51"/>
    </row>
    <row r="21" spans="1:29" ht="12.75">
      <c r="A21" s="43">
        <v>23</v>
      </c>
      <c r="B21" s="44">
        <v>107</v>
      </c>
      <c r="C21" s="45"/>
      <c r="D21" s="45">
        <v>104</v>
      </c>
      <c r="E21" s="45"/>
      <c r="F21" s="45"/>
      <c r="G21" s="45"/>
      <c r="H21" s="46">
        <v>58890</v>
      </c>
      <c r="I21" s="47">
        <f t="shared" si="0"/>
        <v>934763</v>
      </c>
      <c r="J21" s="46">
        <f>(B21*400+C21*124+D21*87+E21*64+F21*29)*12+G21*6500</f>
        <v>622176</v>
      </c>
      <c r="K21" s="46">
        <v>302387</v>
      </c>
      <c r="L21" s="46">
        <v>10200</v>
      </c>
      <c r="M21" s="48">
        <f t="shared" si="1"/>
        <v>993653</v>
      </c>
      <c r="N21" s="49">
        <f t="shared" si="2"/>
        <v>981146</v>
      </c>
      <c r="O21" s="46">
        <v>550470</v>
      </c>
      <c r="P21" s="46">
        <v>44014</v>
      </c>
      <c r="Q21" s="46">
        <v>90593</v>
      </c>
      <c r="R21" s="46">
        <v>14413</v>
      </c>
      <c r="S21" s="46">
        <v>8000</v>
      </c>
      <c r="T21" s="50">
        <f t="shared" si="3"/>
        <v>707490</v>
      </c>
      <c r="U21" s="46">
        <v>31236</v>
      </c>
      <c r="V21" s="46">
        <v>85000</v>
      </c>
      <c r="W21" s="46">
        <f t="shared" si="4"/>
        <v>157420</v>
      </c>
      <c r="X21" s="46"/>
      <c r="Y21" s="46">
        <v>12507</v>
      </c>
      <c r="Z21" s="48">
        <f t="shared" si="5"/>
        <v>993653</v>
      </c>
      <c r="AA21" s="49">
        <f t="shared" si="6"/>
        <v>774</v>
      </c>
      <c r="AB21" s="51">
        <f t="shared" si="7"/>
        <v>273656</v>
      </c>
      <c r="AC21" s="51"/>
    </row>
    <row r="22" spans="1:29" ht="12.75">
      <c r="A22" s="43">
        <v>24</v>
      </c>
      <c r="B22" s="44">
        <v>135</v>
      </c>
      <c r="C22" s="45"/>
      <c r="D22" s="45"/>
      <c r="E22" s="45">
        <v>135</v>
      </c>
      <c r="F22" s="45"/>
      <c r="G22" s="45"/>
      <c r="H22" s="46">
        <v>31166</v>
      </c>
      <c r="I22" s="47">
        <f t="shared" si="0"/>
        <v>1912883</v>
      </c>
      <c r="J22" s="46">
        <f>(B22*400+C22*124+D22*87+E22*64+F22*29)*12+G22*6500+2000+500000+290000</f>
        <v>1543680</v>
      </c>
      <c r="K22" s="46">
        <v>364203</v>
      </c>
      <c r="L22" s="46">
        <v>5000</v>
      </c>
      <c r="M22" s="48">
        <f t="shared" si="1"/>
        <v>1944049</v>
      </c>
      <c r="N22" s="49">
        <f t="shared" si="2"/>
        <v>1923308</v>
      </c>
      <c r="O22" s="46">
        <v>669743</v>
      </c>
      <c r="P22" s="46">
        <v>55287</v>
      </c>
      <c r="Q22" s="46">
        <v>109563</v>
      </c>
      <c r="R22" s="46">
        <v>17784</v>
      </c>
      <c r="S22" s="46">
        <v>0</v>
      </c>
      <c r="T22" s="50">
        <f t="shared" si="3"/>
        <v>852377</v>
      </c>
      <c r="U22" s="46">
        <v>40605</v>
      </c>
      <c r="V22" s="46">
        <v>91476</v>
      </c>
      <c r="W22" s="46">
        <f t="shared" si="4"/>
        <v>938850</v>
      </c>
      <c r="X22" s="46"/>
      <c r="Y22" s="46">
        <v>20741</v>
      </c>
      <c r="Z22" s="48">
        <f t="shared" si="5"/>
        <v>1944049</v>
      </c>
      <c r="AA22" s="49">
        <f t="shared" si="6"/>
        <v>1200</v>
      </c>
      <c r="AB22" s="51">
        <f t="shared" si="7"/>
        <v>1070931</v>
      </c>
      <c r="AC22" s="51">
        <v>790000</v>
      </c>
    </row>
    <row r="23" spans="1:29" ht="12.75">
      <c r="A23" s="43">
        <v>25</v>
      </c>
      <c r="B23" s="44">
        <v>107</v>
      </c>
      <c r="C23" s="45"/>
      <c r="D23" s="45">
        <v>102</v>
      </c>
      <c r="E23" s="45"/>
      <c r="F23" s="45"/>
      <c r="G23" s="45"/>
      <c r="H23" s="46">
        <v>34950</v>
      </c>
      <c r="I23" s="47">
        <f t="shared" si="0"/>
        <v>965148</v>
      </c>
      <c r="J23" s="46">
        <f>(B23*400+C23*124+D23*87+E23*64+F23*29)*12+G23*6500+6000+60000</f>
        <v>686088</v>
      </c>
      <c r="K23" s="46">
        <v>274674</v>
      </c>
      <c r="L23" s="46">
        <v>4386</v>
      </c>
      <c r="M23" s="48">
        <f t="shared" si="1"/>
        <v>1000098</v>
      </c>
      <c r="N23" s="49">
        <f t="shared" si="2"/>
        <v>980758</v>
      </c>
      <c r="O23" s="46">
        <v>547141</v>
      </c>
      <c r="P23" s="46">
        <v>45957</v>
      </c>
      <c r="Q23" s="46">
        <v>91546</v>
      </c>
      <c r="R23" s="46">
        <v>14564</v>
      </c>
      <c r="S23" s="46">
        <v>3200</v>
      </c>
      <c r="T23" s="50">
        <f t="shared" si="3"/>
        <v>702408</v>
      </c>
      <c r="U23" s="46">
        <v>30460</v>
      </c>
      <c r="V23" s="46">
        <v>67729</v>
      </c>
      <c r="W23" s="46">
        <f t="shared" si="4"/>
        <v>180161</v>
      </c>
      <c r="X23" s="46"/>
      <c r="Y23" s="46">
        <v>19340</v>
      </c>
      <c r="Z23" s="48">
        <f t="shared" si="5"/>
        <v>1000098</v>
      </c>
      <c r="AA23" s="49">
        <f t="shared" si="6"/>
        <v>779</v>
      </c>
      <c r="AB23" s="51">
        <f t="shared" si="7"/>
        <v>278350</v>
      </c>
      <c r="AC23" s="51">
        <v>6000</v>
      </c>
    </row>
    <row r="24" spans="1:29" ht="12.75">
      <c r="A24" s="43">
        <v>26</v>
      </c>
      <c r="B24" s="44">
        <v>154</v>
      </c>
      <c r="C24" s="45"/>
      <c r="D24" s="45"/>
      <c r="E24" s="45">
        <v>124</v>
      </c>
      <c r="F24" s="45"/>
      <c r="G24" s="45"/>
      <c r="H24" s="46">
        <v>18296</v>
      </c>
      <c r="I24" s="47">
        <f t="shared" si="0"/>
        <v>1231841</v>
      </c>
      <c r="J24" s="46">
        <f>(B24*400+C24*124+D24*87+E24*64+F24*29)*12+G24*6500+3200</f>
        <v>837632</v>
      </c>
      <c r="K24" s="46">
        <v>381209</v>
      </c>
      <c r="L24" s="46">
        <v>13000</v>
      </c>
      <c r="M24" s="48">
        <f t="shared" si="1"/>
        <v>1250137</v>
      </c>
      <c r="N24" s="49">
        <f t="shared" si="2"/>
        <v>1234576</v>
      </c>
      <c r="O24" s="46">
        <v>714219</v>
      </c>
      <c r="P24" s="46">
        <v>58618</v>
      </c>
      <c r="Q24" s="46">
        <v>116159</v>
      </c>
      <c r="R24" s="46">
        <v>18480</v>
      </c>
      <c r="S24" s="46">
        <v>2000</v>
      </c>
      <c r="T24" s="50">
        <f t="shared" si="3"/>
        <v>909476</v>
      </c>
      <c r="U24" s="46">
        <v>41004</v>
      </c>
      <c r="V24" s="46">
        <v>112800</v>
      </c>
      <c r="W24" s="46">
        <f t="shared" si="4"/>
        <v>171296</v>
      </c>
      <c r="X24" s="46"/>
      <c r="Y24" s="46">
        <v>15561</v>
      </c>
      <c r="Z24" s="48">
        <f t="shared" si="5"/>
        <v>1250137</v>
      </c>
      <c r="AA24" s="49">
        <f t="shared" si="6"/>
        <v>676</v>
      </c>
      <c r="AB24" s="51">
        <f t="shared" si="7"/>
        <v>325100</v>
      </c>
      <c r="AC24" s="51"/>
    </row>
    <row r="25" spans="1:29" ht="12.75">
      <c r="A25" s="43">
        <v>27</v>
      </c>
      <c r="B25" s="44">
        <v>146</v>
      </c>
      <c r="C25" s="45"/>
      <c r="D25" s="45"/>
      <c r="E25" s="45">
        <v>124</v>
      </c>
      <c r="F25" s="45"/>
      <c r="G25" s="45">
        <v>10</v>
      </c>
      <c r="H25" s="46">
        <v>74739</v>
      </c>
      <c r="I25" s="47">
        <f t="shared" si="0"/>
        <v>1326387</v>
      </c>
      <c r="J25" s="46">
        <f>(B25*400+C25*124+D25*87+E25*64+F25*29)*12+G25*6500+7000+60000</f>
        <v>928032</v>
      </c>
      <c r="K25" s="46">
        <v>395655</v>
      </c>
      <c r="L25" s="46">
        <v>2700</v>
      </c>
      <c r="M25" s="48">
        <f t="shared" si="1"/>
        <v>1401126</v>
      </c>
      <c r="N25" s="49">
        <f t="shared" si="2"/>
        <v>1401126</v>
      </c>
      <c r="O25" s="46">
        <v>832014</v>
      </c>
      <c r="P25" s="46">
        <v>66412</v>
      </c>
      <c r="Q25" s="46">
        <v>138358</v>
      </c>
      <c r="R25" s="46">
        <v>22011</v>
      </c>
      <c r="S25" s="46">
        <v>1000</v>
      </c>
      <c r="T25" s="50">
        <f t="shared" si="3"/>
        <v>1059795</v>
      </c>
      <c r="U25" s="46">
        <v>44241</v>
      </c>
      <c r="V25" s="46">
        <v>105000</v>
      </c>
      <c r="W25" s="46">
        <f t="shared" si="4"/>
        <v>192090</v>
      </c>
      <c r="X25" s="46"/>
      <c r="Y25" s="46">
        <v>0</v>
      </c>
      <c r="Z25" s="48">
        <f t="shared" si="5"/>
        <v>1401126</v>
      </c>
      <c r="AA25" s="49">
        <f t="shared" si="6"/>
        <v>800</v>
      </c>
      <c r="AB25" s="51">
        <f t="shared" si="7"/>
        <v>341331</v>
      </c>
      <c r="AC25" s="51"/>
    </row>
    <row r="26" spans="1:29" ht="12.75">
      <c r="A26" s="43">
        <v>28</v>
      </c>
      <c r="B26" s="44">
        <v>158</v>
      </c>
      <c r="C26" s="45"/>
      <c r="D26" s="45"/>
      <c r="E26" s="45"/>
      <c r="F26" s="45">
        <v>155</v>
      </c>
      <c r="G26" s="45"/>
      <c r="H26" s="46">
        <v>23780</v>
      </c>
      <c r="I26" s="47">
        <f t="shared" si="0"/>
        <v>1263734</v>
      </c>
      <c r="J26" s="46">
        <f>(B26*400+C26*124+D26*87+E26*64+F26*29)*12+G26*6500+5000</f>
        <v>817340</v>
      </c>
      <c r="K26" s="46">
        <v>441394</v>
      </c>
      <c r="L26" s="46">
        <v>5000</v>
      </c>
      <c r="M26" s="48">
        <f t="shared" si="1"/>
        <v>1287514</v>
      </c>
      <c r="N26" s="49">
        <f t="shared" si="2"/>
        <v>1286858</v>
      </c>
      <c r="O26" s="46">
        <v>814926</v>
      </c>
      <c r="P26" s="46">
        <v>63697</v>
      </c>
      <c r="Q26" s="46">
        <v>131152</v>
      </c>
      <c r="R26" s="46">
        <v>20865</v>
      </c>
      <c r="S26" s="46">
        <v>0</v>
      </c>
      <c r="T26" s="50">
        <f t="shared" si="3"/>
        <v>1030640</v>
      </c>
      <c r="U26" s="46">
        <v>45837</v>
      </c>
      <c r="V26" s="46">
        <v>96736</v>
      </c>
      <c r="W26" s="46">
        <f t="shared" si="4"/>
        <v>113645</v>
      </c>
      <c r="X26" s="46"/>
      <c r="Y26" s="46">
        <v>656</v>
      </c>
      <c r="Z26" s="48">
        <f t="shared" si="5"/>
        <v>1287514</v>
      </c>
      <c r="AA26" s="49">
        <f t="shared" si="6"/>
        <v>679</v>
      </c>
      <c r="AB26" s="51">
        <f t="shared" si="7"/>
        <v>256218</v>
      </c>
      <c r="AC26" s="51"/>
    </row>
    <row r="27" spans="1:29" ht="12.75">
      <c r="A27" s="43">
        <v>29</v>
      </c>
      <c r="B27" s="44">
        <v>140</v>
      </c>
      <c r="C27" s="45"/>
      <c r="D27" s="45"/>
      <c r="E27" s="45">
        <v>126</v>
      </c>
      <c r="F27" s="45"/>
      <c r="G27" s="45"/>
      <c r="H27" s="46">
        <v>47865</v>
      </c>
      <c r="I27" s="47">
        <f t="shared" si="0"/>
        <v>1161808</v>
      </c>
      <c r="J27" s="46">
        <f>(B27*400+C27*124+D27*87+E27*64+F27*29)*12+G27*6500+25000</f>
        <v>793768</v>
      </c>
      <c r="K27" s="46">
        <v>365040</v>
      </c>
      <c r="L27" s="46">
        <v>3000</v>
      </c>
      <c r="M27" s="48">
        <f t="shared" si="1"/>
        <v>1209673</v>
      </c>
      <c r="N27" s="49">
        <f t="shared" si="2"/>
        <v>1209433</v>
      </c>
      <c r="O27" s="46">
        <v>716252</v>
      </c>
      <c r="P27" s="46">
        <v>54429</v>
      </c>
      <c r="Q27" s="46">
        <v>115410</v>
      </c>
      <c r="R27" s="46">
        <v>18361</v>
      </c>
      <c r="S27" s="46">
        <v>1000</v>
      </c>
      <c r="T27" s="50">
        <f t="shared" si="3"/>
        <v>905452</v>
      </c>
      <c r="U27" s="46">
        <v>38562</v>
      </c>
      <c r="V27" s="46">
        <v>99684</v>
      </c>
      <c r="W27" s="46">
        <f t="shared" si="4"/>
        <v>165735</v>
      </c>
      <c r="X27" s="46"/>
      <c r="Y27" s="46">
        <v>240</v>
      </c>
      <c r="Z27" s="48">
        <f t="shared" si="5"/>
        <v>1209673</v>
      </c>
      <c r="AA27" s="49">
        <f t="shared" si="6"/>
        <v>720</v>
      </c>
      <c r="AB27" s="51">
        <f t="shared" si="7"/>
        <v>303981</v>
      </c>
      <c r="AC27" s="51"/>
    </row>
    <row r="28" spans="1:29" ht="12.75">
      <c r="A28" s="43">
        <v>30</v>
      </c>
      <c r="B28" s="44">
        <v>94</v>
      </c>
      <c r="C28" s="45">
        <v>69</v>
      </c>
      <c r="D28" s="45"/>
      <c r="E28" s="45"/>
      <c r="F28" s="45"/>
      <c r="G28" s="45">
        <v>8</v>
      </c>
      <c r="H28" s="46">
        <v>38037</v>
      </c>
      <c r="I28" s="47">
        <f t="shared" si="0"/>
        <v>829605</v>
      </c>
      <c r="J28" s="46">
        <f>(B28*400+C28*124+D28*87+E28*64+F28*29)*12+G28*6500</f>
        <v>605872</v>
      </c>
      <c r="K28" s="46">
        <v>219733</v>
      </c>
      <c r="L28" s="46">
        <v>4000</v>
      </c>
      <c r="M28" s="48">
        <f t="shared" si="1"/>
        <v>867642</v>
      </c>
      <c r="N28" s="49">
        <f t="shared" si="2"/>
        <v>860233</v>
      </c>
      <c r="O28" s="46">
        <v>546940</v>
      </c>
      <c r="P28" s="46">
        <v>45223</v>
      </c>
      <c r="Q28" s="46">
        <v>89617</v>
      </c>
      <c r="R28" s="46">
        <v>14257</v>
      </c>
      <c r="S28" s="46">
        <v>0</v>
      </c>
      <c r="T28" s="50">
        <f t="shared" si="3"/>
        <v>696037</v>
      </c>
      <c r="U28" s="46">
        <v>34728</v>
      </c>
      <c r="V28" s="46">
        <v>62403</v>
      </c>
      <c r="W28" s="46">
        <f t="shared" si="4"/>
        <v>67065</v>
      </c>
      <c r="X28" s="46"/>
      <c r="Y28" s="46">
        <v>7409</v>
      </c>
      <c r="Z28" s="48">
        <f t="shared" si="5"/>
        <v>867642</v>
      </c>
      <c r="AA28" s="49">
        <f t="shared" si="6"/>
        <v>769</v>
      </c>
      <c r="AB28" s="51">
        <f t="shared" si="7"/>
        <v>164196</v>
      </c>
      <c r="AC28" s="51"/>
    </row>
    <row r="29" spans="1:29" ht="12.75">
      <c r="A29" s="43">
        <v>31</v>
      </c>
      <c r="B29" s="44">
        <v>140</v>
      </c>
      <c r="C29" s="45"/>
      <c r="D29" s="45"/>
      <c r="E29" s="45">
        <v>131</v>
      </c>
      <c r="F29" s="45"/>
      <c r="G29" s="45"/>
      <c r="H29" s="46">
        <v>26027</v>
      </c>
      <c r="I29" s="47">
        <f t="shared" si="0"/>
        <v>1163148</v>
      </c>
      <c r="J29" s="46">
        <f>(B29*400+C29*124+D29*87+E29*64+F29*29)*12+G29*6500+3000</f>
        <v>775608</v>
      </c>
      <c r="K29" s="46">
        <v>382740</v>
      </c>
      <c r="L29" s="46">
        <v>4800</v>
      </c>
      <c r="M29" s="48">
        <f t="shared" si="1"/>
        <v>1189175</v>
      </c>
      <c r="N29" s="49">
        <f t="shared" si="2"/>
        <v>1183922</v>
      </c>
      <c r="O29" s="46">
        <v>636243</v>
      </c>
      <c r="P29" s="46">
        <v>52991</v>
      </c>
      <c r="Q29" s="46">
        <v>106142</v>
      </c>
      <c r="R29" s="46">
        <v>16886</v>
      </c>
      <c r="S29" s="46">
        <v>0</v>
      </c>
      <c r="T29" s="50">
        <f t="shared" si="3"/>
        <v>812262</v>
      </c>
      <c r="U29" s="46">
        <v>39499</v>
      </c>
      <c r="V29" s="46">
        <v>100561</v>
      </c>
      <c r="W29" s="46">
        <f t="shared" si="4"/>
        <v>231600</v>
      </c>
      <c r="X29" s="46"/>
      <c r="Y29" s="46">
        <v>5253</v>
      </c>
      <c r="Z29" s="48">
        <f t="shared" si="5"/>
        <v>1189175</v>
      </c>
      <c r="AA29" s="49">
        <f t="shared" si="6"/>
        <v>708</v>
      </c>
      <c r="AB29" s="51">
        <f t="shared" si="7"/>
        <v>371660</v>
      </c>
      <c r="AC29" s="51"/>
    </row>
    <row r="30" spans="1:29" ht="12.75">
      <c r="A30" s="43">
        <v>32</v>
      </c>
      <c r="B30" s="44">
        <v>140</v>
      </c>
      <c r="C30" s="45"/>
      <c r="D30" s="45"/>
      <c r="E30" s="45">
        <v>135</v>
      </c>
      <c r="F30" s="45"/>
      <c r="G30" s="45">
        <v>2</v>
      </c>
      <c r="H30" s="46">
        <v>11323</v>
      </c>
      <c r="I30" s="47">
        <f t="shared" si="0"/>
        <v>1199471</v>
      </c>
      <c r="J30" s="46">
        <f>(B30*400+C30*124+D30*87+E30*64+F30*29)*12+G30*6500+5000</f>
        <v>793680</v>
      </c>
      <c r="K30" s="46">
        <v>403291</v>
      </c>
      <c r="L30" s="46">
        <v>2500</v>
      </c>
      <c r="M30" s="48">
        <f t="shared" si="1"/>
        <v>1210794</v>
      </c>
      <c r="N30" s="49">
        <f t="shared" si="2"/>
        <v>1210127</v>
      </c>
      <c r="O30" s="46">
        <v>735246</v>
      </c>
      <c r="P30" s="46">
        <v>57894</v>
      </c>
      <c r="Q30" s="46">
        <v>122239</v>
      </c>
      <c r="R30" s="46">
        <v>19447</v>
      </c>
      <c r="S30" s="46">
        <v>300</v>
      </c>
      <c r="T30" s="50">
        <f t="shared" si="3"/>
        <v>935126</v>
      </c>
      <c r="U30" s="46">
        <v>44603</v>
      </c>
      <c r="V30" s="46">
        <v>112598</v>
      </c>
      <c r="W30" s="46">
        <f t="shared" si="4"/>
        <v>117800</v>
      </c>
      <c r="X30" s="46"/>
      <c r="Y30" s="46">
        <v>667</v>
      </c>
      <c r="Z30" s="48">
        <f t="shared" si="5"/>
        <v>1210794</v>
      </c>
      <c r="AA30" s="49">
        <f t="shared" si="6"/>
        <v>721</v>
      </c>
      <c r="AB30" s="51">
        <f t="shared" si="7"/>
        <v>275001</v>
      </c>
      <c r="AC30" s="51"/>
    </row>
    <row r="31" spans="1:29" ht="12.75">
      <c r="A31" s="43">
        <v>35</v>
      </c>
      <c r="B31" s="44">
        <v>156</v>
      </c>
      <c r="C31" s="45"/>
      <c r="D31" s="45"/>
      <c r="E31" s="45">
        <v>111</v>
      </c>
      <c r="F31" s="45"/>
      <c r="G31" s="45"/>
      <c r="H31" s="46">
        <v>7883</v>
      </c>
      <c r="I31" s="47">
        <f t="shared" si="0"/>
        <v>1232633</v>
      </c>
      <c r="J31" s="46">
        <f>(B31*400+C31*124+D31*87+E31*64+F31*29)*12+G31*6500+3600+80000</f>
        <v>917648</v>
      </c>
      <c r="K31" s="46">
        <v>310585</v>
      </c>
      <c r="L31" s="46">
        <v>4400</v>
      </c>
      <c r="M31" s="48">
        <f t="shared" si="1"/>
        <v>1240516</v>
      </c>
      <c r="N31" s="49">
        <f t="shared" si="2"/>
        <v>1232633</v>
      </c>
      <c r="O31" s="46">
        <v>689166</v>
      </c>
      <c r="P31" s="46">
        <v>56768</v>
      </c>
      <c r="Q31" s="46">
        <v>112912</v>
      </c>
      <c r="R31" s="46">
        <v>17963</v>
      </c>
      <c r="S31" s="46">
        <v>1600</v>
      </c>
      <c r="T31" s="50">
        <f t="shared" si="3"/>
        <v>878409</v>
      </c>
      <c r="U31" s="46">
        <v>39785</v>
      </c>
      <c r="V31" s="46">
        <v>81715</v>
      </c>
      <c r="W31" s="46">
        <f t="shared" si="4"/>
        <v>232724</v>
      </c>
      <c r="X31" s="46"/>
      <c r="Y31" s="46">
        <v>7883</v>
      </c>
      <c r="Z31" s="48">
        <f t="shared" si="5"/>
        <v>1240516</v>
      </c>
      <c r="AA31" s="49">
        <f t="shared" si="6"/>
        <v>663</v>
      </c>
      <c r="AB31" s="51">
        <f t="shared" si="7"/>
        <v>354224</v>
      </c>
      <c r="AC31" s="51"/>
    </row>
    <row r="32" spans="1:29" ht="12.75">
      <c r="A32" s="43">
        <v>36</v>
      </c>
      <c r="B32" s="44">
        <v>100</v>
      </c>
      <c r="C32" s="45"/>
      <c r="D32" s="45">
        <v>95</v>
      </c>
      <c r="E32" s="45"/>
      <c r="F32" s="45"/>
      <c r="G32" s="45"/>
      <c r="H32" s="46">
        <v>34167</v>
      </c>
      <c r="I32" s="47">
        <f t="shared" si="0"/>
        <v>869561</v>
      </c>
      <c r="J32" s="46">
        <f>(B32*400+C32*124+D32*87+E32*64+F32*29)*12+G32*6500+3000</f>
        <v>582180</v>
      </c>
      <c r="K32" s="46">
        <v>279881</v>
      </c>
      <c r="L32" s="46">
        <v>7500</v>
      </c>
      <c r="M32" s="48">
        <f t="shared" si="1"/>
        <v>903728</v>
      </c>
      <c r="N32" s="49">
        <f t="shared" si="2"/>
        <v>903728</v>
      </c>
      <c r="O32" s="46">
        <v>527387</v>
      </c>
      <c r="P32" s="46">
        <v>43031</v>
      </c>
      <c r="Q32" s="46">
        <v>86953</v>
      </c>
      <c r="R32" s="46">
        <v>13833</v>
      </c>
      <c r="S32" s="46">
        <v>2000</v>
      </c>
      <c r="T32" s="50">
        <f t="shared" si="3"/>
        <v>673204</v>
      </c>
      <c r="U32" s="46">
        <v>29376</v>
      </c>
      <c r="V32" s="46">
        <v>83000</v>
      </c>
      <c r="W32" s="46">
        <f t="shared" si="4"/>
        <v>118148</v>
      </c>
      <c r="X32" s="46"/>
      <c r="Y32" s="46">
        <v>0</v>
      </c>
      <c r="Z32" s="48">
        <f t="shared" si="5"/>
        <v>903728</v>
      </c>
      <c r="AA32" s="49">
        <f t="shared" si="6"/>
        <v>753</v>
      </c>
      <c r="AB32" s="51">
        <f t="shared" si="7"/>
        <v>230524</v>
      </c>
      <c r="AC32" s="51"/>
    </row>
    <row r="33" spans="1:29" ht="12.75">
      <c r="A33" s="43">
        <v>42</v>
      </c>
      <c r="B33" s="44">
        <v>140</v>
      </c>
      <c r="C33" s="45"/>
      <c r="D33" s="45"/>
      <c r="E33" s="45">
        <v>122</v>
      </c>
      <c r="F33" s="45"/>
      <c r="G33" s="45">
        <v>1</v>
      </c>
      <c r="H33" s="46">
        <v>155204</v>
      </c>
      <c r="I33" s="47">
        <f t="shared" si="0"/>
        <v>1113276</v>
      </c>
      <c r="J33" s="46">
        <f>(B33*400+C33*124+D33*87+E33*64+F33*29)*12+G33*6500</f>
        <v>772196</v>
      </c>
      <c r="K33" s="46">
        <v>335580</v>
      </c>
      <c r="L33" s="46">
        <v>5500</v>
      </c>
      <c r="M33" s="48">
        <f t="shared" si="1"/>
        <v>1268480</v>
      </c>
      <c r="N33" s="49">
        <f t="shared" si="2"/>
        <v>1177038</v>
      </c>
      <c r="O33" s="46">
        <v>589263</v>
      </c>
      <c r="P33" s="46">
        <v>49098</v>
      </c>
      <c r="Q33" s="46">
        <v>97296</v>
      </c>
      <c r="R33" s="46">
        <v>15479</v>
      </c>
      <c r="S33" s="46">
        <v>5000</v>
      </c>
      <c r="T33" s="50">
        <f t="shared" si="3"/>
        <v>756136</v>
      </c>
      <c r="U33" s="46">
        <v>37845</v>
      </c>
      <c r="V33" s="46">
        <v>79910</v>
      </c>
      <c r="W33" s="46">
        <f t="shared" si="4"/>
        <v>303147</v>
      </c>
      <c r="X33" s="46"/>
      <c r="Y33" s="46">
        <f>84942+6500</f>
        <v>91442</v>
      </c>
      <c r="Z33" s="48">
        <f t="shared" si="5"/>
        <v>1268480</v>
      </c>
      <c r="AA33" s="49">
        <f t="shared" si="6"/>
        <v>755</v>
      </c>
      <c r="AB33" s="51">
        <f t="shared" si="7"/>
        <v>420902</v>
      </c>
      <c r="AC33" s="51"/>
    </row>
    <row r="34" spans="1:29" ht="12.75">
      <c r="A34" s="43">
        <v>43</v>
      </c>
      <c r="B34" s="44">
        <v>135</v>
      </c>
      <c r="C34" s="45"/>
      <c r="D34" s="45">
        <v>110</v>
      </c>
      <c r="E34" s="45"/>
      <c r="F34" s="45"/>
      <c r="G34" s="45">
        <v>2</v>
      </c>
      <c r="H34" s="46">
        <v>14727</v>
      </c>
      <c r="I34" s="47">
        <f t="shared" si="0"/>
        <v>1425272</v>
      </c>
      <c r="J34" s="46">
        <f>(B34*400+C34*124+D34*87+E34*64+F34*29)*12+G34*6500+3000+250000</f>
        <v>1028840</v>
      </c>
      <c r="K34" s="46">
        <v>374532</v>
      </c>
      <c r="L34" s="46">
        <v>21900</v>
      </c>
      <c r="M34" s="48">
        <f t="shared" si="1"/>
        <v>1439999</v>
      </c>
      <c r="N34" s="49">
        <f t="shared" si="2"/>
        <v>1446065</v>
      </c>
      <c r="O34" s="46">
        <v>752017</v>
      </c>
      <c r="P34" s="46">
        <v>59517</v>
      </c>
      <c r="Q34" s="46">
        <v>122238</v>
      </c>
      <c r="R34" s="46">
        <v>19447</v>
      </c>
      <c r="S34" s="46">
        <v>11700</v>
      </c>
      <c r="T34" s="50">
        <f t="shared" si="3"/>
        <v>964919</v>
      </c>
      <c r="U34" s="46">
        <v>41505</v>
      </c>
      <c r="V34" s="46">
        <v>107938</v>
      </c>
      <c r="W34" s="46">
        <f t="shared" si="4"/>
        <v>331703</v>
      </c>
      <c r="X34" s="46"/>
      <c r="Y34" s="46">
        <v>-6066</v>
      </c>
      <c r="Z34" s="48">
        <f t="shared" si="5"/>
        <v>1439999</v>
      </c>
      <c r="AA34" s="49">
        <f t="shared" si="6"/>
        <v>889</v>
      </c>
      <c r="AB34" s="51">
        <f t="shared" si="7"/>
        <v>481146</v>
      </c>
      <c r="AC34" s="51"/>
    </row>
    <row r="35" spans="1:29" ht="12.75">
      <c r="A35" s="43">
        <v>44</v>
      </c>
      <c r="B35" s="44">
        <v>225</v>
      </c>
      <c r="C35" s="45"/>
      <c r="D35" s="45"/>
      <c r="E35" s="45"/>
      <c r="F35" s="45">
        <v>217</v>
      </c>
      <c r="G35" s="45"/>
      <c r="H35" s="46">
        <v>27</v>
      </c>
      <c r="I35" s="47">
        <f t="shared" si="0"/>
        <v>1889747</v>
      </c>
      <c r="J35" s="46">
        <f>(B35*400+C35*124+D35*87+E35*64+F35*29)*12+G35*6500+4000+70000</f>
        <v>1229516</v>
      </c>
      <c r="K35" s="46">
        <v>654231</v>
      </c>
      <c r="L35" s="46">
        <v>6000</v>
      </c>
      <c r="M35" s="48">
        <f t="shared" si="1"/>
        <v>1889774</v>
      </c>
      <c r="N35" s="49">
        <f t="shared" si="2"/>
        <v>1869281</v>
      </c>
      <c r="O35" s="46">
        <v>1079455</v>
      </c>
      <c r="P35" s="46">
        <v>89265</v>
      </c>
      <c r="Q35" s="46">
        <v>176868</v>
      </c>
      <c r="R35" s="46">
        <v>28138</v>
      </c>
      <c r="S35" s="46">
        <v>4500</v>
      </c>
      <c r="T35" s="50">
        <f t="shared" si="3"/>
        <v>1378226</v>
      </c>
      <c r="U35" s="46">
        <v>61645</v>
      </c>
      <c r="V35" s="46">
        <v>201000</v>
      </c>
      <c r="W35" s="46">
        <f t="shared" si="4"/>
        <v>228410</v>
      </c>
      <c r="X35" s="46"/>
      <c r="Y35" s="46">
        <v>20493</v>
      </c>
      <c r="Z35" s="48">
        <f t="shared" si="5"/>
        <v>1889774</v>
      </c>
      <c r="AA35" s="49">
        <f t="shared" si="6"/>
        <v>700</v>
      </c>
      <c r="AB35" s="51">
        <f t="shared" si="7"/>
        <v>491055</v>
      </c>
      <c r="AC35" s="51"/>
    </row>
    <row r="36" spans="1:29" ht="12.75">
      <c r="A36" s="43">
        <v>46</v>
      </c>
      <c r="B36" s="44">
        <v>227</v>
      </c>
      <c r="C36" s="45"/>
      <c r="D36" s="45"/>
      <c r="E36" s="45"/>
      <c r="F36" s="45">
        <v>165</v>
      </c>
      <c r="G36" s="45">
        <v>4</v>
      </c>
      <c r="H36" s="46">
        <v>91688</v>
      </c>
      <c r="I36" s="47">
        <f t="shared" si="0"/>
        <v>1737643</v>
      </c>
      <c r="J36" s="46">
        <f>(B36*400+C36*124+D36*87+E36*64+F36*29)*12+G36*6500+11000</f>
        <v>1184020</v>
      </c>
      <c r="K36" s="46">
        <v>547623</v>
      </c>
      <c r="L36" s="46">
        <v>6000</v>
      </c>
      <c r="M36" s="48">
        <f t="shared" si="1"/>
        <v>1829331</v>
      </c>
      <c r="N36" s="49">
        <f t="shared" si="2"/>
        <v>1805147</v>
      </c>
      <c r="O36" s="46">
        <v>1061787</v>
      </c>
      <c r="P36" s="46">
        <v>85954</v>
      </c>
      <c r="Q36" s="46">
        <v>173623</v>
      </c>
      <c r="R36" s="46">
        <v>27622</v>
      </c>
      <c r="S36" s="46">
        <v>2000</v>
      </c>
      <c r="T36" s="50">
        <f t="shared" si="3"/>
        <v>1350986</v>
      </c>
      <c r="U36" s="46">
        <v>59261</v>
      </c>
      <c r="V36" s="46">
        <v>168000</v>
      </c>
      <c r="W36" s="46">
        <f t="shared" si="4"/>
        <v>226900</v>
      </c>
      <c r="X36" s="46"/>
      <c r="Y36" s="46">
        <v>24184</v>
      </c>
      <c r="Z36" s="48">
        <f t="shared" si="5"/>
        <v>1829331</v>
      </c>
      <c r="AA36" s="49">
        <f t="shared" si="6"/>
        <v>672</v>
      </c>
      <c r="AB36" s="51">
        <f t="shared" si="7"/>
        <v>454161</v>
      </c>
      <c r="AC36" s="51"/>
    </row>
    <row r="37" spans="1:29" s="52" customFormat="1" ht="12.75">
      <c r="A37" s="43">
        <v>47</v>
      </c>
      <c r="B37" s="44">
        <v>110</v>
      </c>
      <c r="C37" s="45"/>
      <c r="D37" s="45">
        <v>98</v>
      </c>
      <c r="E37" s="45"/>
      <c r="F37" s="45"/>
      <c r="G37" s="45"/>
      <c r="H37" s="46">
        <v>72759</v>
      </c>
      <c r="I37" s="47">
        <f t="shared" si="0"/>
        <v>1002225</v>
      </c>
      <c r="J37" s="46">
        <f>(B37*400+C37*124+D37*87+E37*64+F37*29)*12+G37*6500+4000+90000</f>
        <v>724312</v>
      </c>
      <c r="K37" s="46">
        <v>275913</v>
      </c>
      <c r="L37" s="46">
        <v>2000</v>
      </c>
      <c r="M37" s="48">
        <f t="shared" si="1"/>
        <v>1074984</v>
      </c>
      <c r="N37" s="49">
        <f t="shared" si="2"/>
        <v>1058508</v>
      </c>
      <c r="O37" s="46">
        <v>545097</v>
      </c>
      <c r="P37" s="46">
        <v>44927</v>
      </c>
      <c r="Q37" s="46">
        <v>90864</v>
      </c>
      <c r="R37" s="46">
        <v>14456</v>
      </c>
      <c r="S37" s="46">
        <v>2200</v>
      </c>
      <c r="T37" s="50">
        <f t="shared" si="3"/>
        <v>697544</v>
      </c>
      <c r="U37" s="46">
        <v>31702</v>
      </c>
      <c r="V37" s="46">
        <v>70713</v>
      </c>
      <c r="W37" s="46">
        <f t="shared" si="4"/>
        <v>258549</v>
      </c>
      <c r="X37" s="46"/>
      <c r="Y37" s="46">
        <v>16476</v>
      </c>
      <c r="Z37" s="48">
        <f t="shared" si="5"/>
        <v>1074984</v>
      </c>
      <c r="AA37" s="49">
        <f t="shared" si="6"/>
        <v>814</v>
      </c>
      <c r="AB37" s="51">
        <f t="shared" si="7"/>
        <v>360964</v>
      </c>
      <c r="AC37" s="51"/>
    </row>
    <row r="38" spans="1:29" s="52" customFormat="1" ht="12.75">
      <c r="A38" s="43">
        <v>48</v>
      </c>
      <c r="B38" s="44">
        <v>194</v>
      </c>
      <c r="C38" s="45"/>
      <c r="D38" s="45"/>
      <c r="E38" s="45"/>
      <c r="F38" s="45">
        <v>186</v>
      </c>
      <c r="G38" s="45">
        <v>3</v>
      </c>
      <c r="H38" s="46">
        <v>44200</v>
      </c>
      <c r="I38" s="47">
        <f t="shared" si="0"/>
        <v>1645873</v>
      </c>
      <c r="J38" s="46">
        <f>(B38*400+C38*124+D38*87+E38*64+F38*29)*12+G38*6500+90000</f>
        <v>1105428</v>
      </c>
      <c r="K38" s="46">
        <v>533445</v>
      </c>
      <c r="L38" s="46">
        <v>7000</v>
      </c>
      <c r="M38" s="48">
        <f t="shared" si="1"/>
        <v>1690073</v>
      </c>
      <c r="N38" s="49">
        <f t="shared" si="2"/>
        <v>1665573</v>
      </c>
      <c r="O38" s="46">
        <v>929479</v>
      </c>
      <c r="P38" s="46">
        <v>73162</v>
      </c>
      <c r="Q38" s="46">
        <v>151216</v>
      </c>
      <c r="R38" s="46">
        <v>24057</v>
      </c>
      <c r="S38" s="46">
        <v>2000</v>
      </c>
      <c r="T38" s="50">
        <f t="shared" si="3"/>
        <v>1179914</v>
      </c>
      <c r="U38" s="46">
        <v>55307</v>
      </c>
      <c r="V38" s="46">
        <v>148078</v>
      </c>
      <c r="W38" s="46">
        <f t="shared" si="4"/>
        <v>282274</v>
      </c>
      <c r="X38" s="46"/>
      <c r="Y38" s="46">
        <v>24500</v>
      </c>
      <c r="Z38" s="48">
        <f t="shared" si="5"/>
        <v>1690073</v>
      </c>
      <c r="AA38" s="49">
        <f t="shared" si="6"/>
        <v>726</v>
      </c>
      <c r="AB38" s="51">
        <f t="shared" si="7"/>
        <v>485659</v>
      </c>
      <c r="AC38" s="51"/>
    </row>
    <row r="39" spans="1:29" ht="12.75">
      <c r="A39" s="43">
        <v>49</v>
      </c>
      <c r="B39" s="44">
        <v>135</v>
      </c>
      <c r="C39" s="45"/>
      <c r="D39" s="45"/>
      <c r="E39" s="45">
        <v>127</v>
      </c>
      <c r="F39" s="45"/>
      <c r="G39" s="45"/>
      <c r="H39" s="46">
        <v>19907</v>
      </c>
      <c r="I39" s="47">
        <f t="shared" si="0"/>
        <v>1158002</v>
      </c>
      <c r="J39" s="46">
        <f>(B39*400+C39*124+D39*87+E39*64+F39*29)*12+G39*6500+6700+35000</f>
        <v>787236</v>
      </c>
      <c r="K39" s="46">
        <v>367766</v>
      </c>
      <c r="L39" s="46">
        <v>3000</v>
      </c>
      <c r="M39" s="48">
        <f t="shared" si="1"/>
        <v>1177909</v>
      </c>
      <c r="N39" s="49">
        <f t="shared" si="2"/>
        <v>1195946</v>
      </c>
      <c r="O39" s="46">
        <v>718122</v>
      </c>
      <c r="P39" s="46">
        <v>58036</v>
      </c>
      <c r="Q39" s="46">
        <v>115048</v>
      </c>
      <c r="R39" s="46">
        <v>18303</v>
      </c>
      <c r="S39" s="46">
        <v>0</v>
      </c>
      <c r="T39" s="50">
        <f t="shared" si="3"/>
        <v>909509</v>
      </c>
      <c r="U39" s="46">
        <v>40042</v>
      </c>
      <c r="V39" s="46">
        <v>101350</v>
      </c>
      <c r="W39" s="46">
        <f t="shared" si="4"/>
        <v>145045</v>
      </c>
      <c r="X39" s="46"/>
      <c r="Y39" s="46">
        <v>-18037</v>
      </c>
      <c r="Z39" s="48">
        <f t="shared" si="5"/>
        <v>1177909</v>
      </c>
      <c r="AA39" s="49">
        <f t="shared" si="6"/>
        <v>727</v>
      </c>
      <c r="AB39" s="51">
        <f t="shared" si="7"/>
        <v>286437</v>
      </c>
      <c r="AC39" s="51"/>
    </row>
    <row r="40" spans="1:29" ht="12.75">
      <c r="A40" s="43">
        <v>50</v>
      </c>
      <c r="B40" s="44">
        <v>237</v>
      </c>
      <c r="C40" s="45"/>
      <c r="D40" s="45"/>
      <c r="E40" s="45"/>
      <c r="F40" s="45">
        <v>233</v>
      </c>
      <c r="G40" s="45"/>
      <c r="H40" s="46">
        <v>50236</v>
      </c>
      <c r="I40" s="47">
        <f t="shared" si="0"/>
        <v>2034409</v>
      </c>
      <c r="J40" s="46">
        <f>(B40*400+C40*124+D40*87+E40*64+F40*29)*12+G40*6500+90000</f>
        <v>1308684</v>
      </c>
      <c r="K40" s="46">
        <v>715725</v>
      </c>
      <c r="L40" s="46">
        <v>10000</v>
      </c>
      <c r="M40" s="48">
        <f t="shared" si="1"/>
        <v>2084645</v>
      </c>
      <c r="N40" s="49">
        <f>SUM(O40:W40)-T40+X40</f>
        <v>2079649</v>
      </c>
      <c r="O40" s="46">
        <v>1098262</v>
      </c>
      <c r="P40" s="46">
        <v>90810</v>
      </c>
      <c r="Q40" s="46">
        <v>181628</v>
      </c>
      <c r="R40" s="46">
        <v>28895</v>
      </c>
      <c r="S40" s="46">
        <v>2000</v>
      </c>
      <c r="T40" s="50">
        <f t="shared" si="3"/>
        <v>1401595</v>
      </c>
      <c r="U40" s="46">
        <v>61886</v>
      </c>
      <c r="V40" s="46">
        <v>215610</v>
      </c>
      <c r="W40" s="46">
        <f>M40-O40-P40-Q40-R40-S40-U40-V40-Y40-X40</f>
        <v>400558</v>
      </c>
      <c r="X40" s="46"/>
      <c r="Y40" s="46">
        <v>4996</v>
      </c>
      <c r="Z40" s="48">
        <f t="shared" si="5"/>
        <v>2084645</v>
      </c>
      <c r="AA40" s="49">
        <f t="shared" si="6"/>
        <v>733</v>
      </c>
      <c r="AB40" s="51">
        <f t="shared" si="7"/>
        <v>678054</v>
      </c>
      <c r="AC40" s="51"/>
    </row>
    <row r="41" spans="1:29" s="52" customFormat="1" ht="12.75">
      <c r="A41" s="43">
        <v>51</v>
      </c>
      <c r="B41" s="44">
        <v>100</v>
      </c>
      <c r="C41" s="45"/>
      <c r="D41" s="45">
        <v>92</v>
      </c>
      <c r="E41" s="45"/>
      <c r="F41" s="45"/>
      <c r="G41" s="45"/>
      <c r="H41" s="46">
        <v>24010</v>
      </c>
      <c r="I41" s="47">
        <f t="shared" si="0"/>
        <v>858331</v>
      </c>
      <c r="J41" s="46">
        <f>(B41*400+C41*124+D41*87+E41*64+F41*29)*12+G41*6500</f>
        <v>576048</v>
      </c>
      <c r="K41" s="46">
        <v>278633</v>
      </c>
      <c r="L41" s="46">
        <v>3650</v>
      </c>
      <c r="M41" s="48">
        <f t="shared" si="1"/>
        <v>882341</v>
      </c>
      <c r="N41" s="49">
        <f>SUM(O41:W41)-T41</f>
        <v>901149</v>
      </c>
      <c r="O41" s="46">
        <v>562124</v>
      </c>
      <c r="P41" s="46">
        <v>44586</v>
      </c>
      <c r="Q41" s="46">
        <v>91659</v>
      </c>
      <c r="R41" s="46">
        <v>14582</v>
      </c>
      <c r="S41" s="46">
        <v>0</v>
      </c>
      <c r="T41" s="50">
        <f t="shared" si="3"/>
        <v>712951</v>
      </c>
      <c r="U41" s="46">
        <v>35468</v>
      </c>
      <c r="V41" s="46">
        <v>77318</v>
      </c>
      <c r="W41" s="46">
        <f>M41-O41-P41-Q41-R41-S41-U41-V41-Y41</f>
        <v>75412</v>
      </c>
      <c r="X41" s="46"/>
      <c r="Y41" s="46">
        <v>-18808</v>
      </c>
      <c r="Z41" s="48">
        <f t="shared" si="5"/>
        <v>882341</v>
      </c>
      <c r="AA41" s="49">
        <f t="shared" si="6"/>
        <v>735</v>
      </c>
      <c r="AB41" s="51">
        <f t="shared" si="7"/>
        <v>188198</v>
      </c>
      <c r="AC41" s="51"/>
    </row>
    <row r="42" spans="1:29" ht="12.75">
      <c r="A42" s="43">
        <v>52</v>
      </c>
      <c r="B42" s="44">
        <v>113</v>
      </c>
      <c r="C42" s="45"/>
      <c r="D42" s="45">
        <v>96</v>
      </c>
      <c r="E42" s="45"/>
      <c r="F42" s="45"/>
      <c r="G42" s="45"/>
      <c r="H42" s="46">
        <v>23717</v>
      </c>
      <c r="I42" s="47">
        <f t="shared" si="0"/>
        <v>943271</v>
      </c>
      <c r="J42" s="46">
        <f>(B42*400+C42*124+D42*87+E42*64+F42*29)*12+G42*6500</f>
        <v>642624</v>
      </c>
      <c r="K42" s="46">
        <v>297647</v>
      </c>
      <c r="L42" s="46">
        <v>3000</v>
      </c>
      <c r="M42" s="48">
        <f t="shared" si="1"/>
        <v>966988</v>
      </c>
      <c r="N42" s="49">
        <f>SUM(O42:W42)-T42</f>
        <v>964756</v>
      </c>
      <c r="O42" s="46">
        <v>596121</v>
      </c>
      <c r="P42" s="46">
        <v>47842</v>
      </c>
      <c r="Q42" s="46">
        <v>95594</v>
      </c>
      <c r="R42" s="46">
        <v>15662</v>
      </c>
      <c r="S42" s="46">
        <v>4200</v>
      </c>
      <c r="T42" s="50">
        <f t="shared" si="3"/>
        <v>759419</v>
      </c>
      <c r="U42" s="46">
        <v>32042</v>
      </c>
      <c r="V42" s="46">
        <v>80000</v>
      </c>
      <c r="W42" s="46">
        <f>M42-O42-P42-Q42-R42-S42-U42-V42-Y42</f>
        <v>93295</v>
      </c>
      <c r="X42" s="46"/>
      <c r="Y42" s="46">
        <v>2232</v>
      </c>
      <c r="Z42" s="48">
        <f t="shared" si="5"/>
        <v>966988</v>
      </c>
      <c r="AA42" s="49">
        <f t="shared" si="6"/>
        <v>713</v>
      </c>
      <c r="AB42" s="51">
        <f t="shared" si="7"/>
        <v>205337</v>
      </c>
      <c r="AC42" s="51"/>
    </row>
    <row r="43" spans="1:29" s="56" customFormat="1" ht="12.75">
      <c r="A43" s="53"/>
      <c r="B43" s="54">
        <f aca="true" t="shared" si="8" ref="B43:Z43">SUM(B6:B42)</f>
        <v>4942</v>
      </c>
      <c r="C43" s="54">
        <f t="shared" si="8"/>
        <v>209</v>
      </c>
      <c r="D43" s="54">
        <f t="shared" si="8"/>
        <v>1516</v>
      </c>
      <c r="E43" s="54">
        <f t="shared" si="8"/>
        <v>1479</v>
      </c>
      <c r="F43" s="54">
        <f t="shared" si="8"/>
        <v>1254</v>
      </c>
      <c r="G43" s="54">
        <f t="shared" si="8"/>
        <v>58</v>
      </c>
      <c r="H43" s="55">
        <f t="shared" si="8"/>
        <v>1201445</v>
      </c>
      <c r="I43" s="50">
        <f t="shared" si="8"/>
        <v>43197610</v>
      </c>
      <c r="J43" s="55">
        <f t="shared" si="8"/>
        <v>29933060</v>
      </c>
      <c r="K43" s="55">
        <f t="shared" si="8"/>
        <v>13053776</v>
      </c>
      <c r="L43" s="55">
        <f t="shared" si="8"/>
        <v>210774</v>
      </c>
      <c r="M43" s="55">
        <f t="shared" si="8"/>
        <v>44399055</v>
      </c>
      <c r="N43" s="55">
        <f t="shared" si="8"/>
        <v>43976666</v>
      </c>
      <c r="O43" s="55">
        <f t="shared" si="8"/>
        <v>24744824</v>
      </c>
      <c r="P43" s="55">
        <f t="shared" si="8"/>
        <v>2000489</v>
      </c>
      <c r="Q43" s="55">
        <f t="shared" si="8"/>
        <v>4054871</v>
      </c>
      <c r="R43" s="55">
        <f t="shared" si="8"/>
        <v>645996</v>
      </c>
      <c r="S43" s="55">
        <f t="shared" si="8"/>
        <v>107018</v>
      </c>
      <c r="T43" s="50">
        <f t="shared" si="8"/>
        <v>31553198</v>
      </c>
      <c r="U43" s="55">
        <f t="shared" si="8"/>
        <v>1433407</v>
      </c>
      <c r="V43" s="55">
        <f t="shared" si="8"/>
        <v>3594137</v>
      </c>
      <c r="W43" s="55">
        <f t="shared" si="8"/>
        <v>7395924</v>
      </c>
      <c r="X43" s="55">
        <f t="shared" si="8"/>
        <v>0</v>
      </c>
      <c r="Y43" s="55">
        <f t="shared" si="8"/>
        <v>422389</v>
      </c>
      <c r="Z43" s="55">
        <f t="shared" si="8"/>
        <v>44399055</v>
      </c>
      <c r="AA43" s="49">
        <f t="shared" si="6"/>
        <v>749</v>
      </c>
      <c r="AB43" s="50">
        <f>SUM(AB6:AB42)</f>
        <v>12423468</v>
      </c>
      <c r="AC43" s="50">
        <f>SUM(AC6:AC42)</f>
        <v>796000</v>
      </c>
    </row>
    <row r="44" spans="1:28" s="70" customFormat="1" ht="12.75">
      <c r="A44" s="57" t="s">
        <v>190</v>
      </c>
      <c r="B44" s="58"/>
      <c r="C44" s="58"/>
      <c r="D44" s="58"/>
      <c r="E44" s="58"/>
      <c r="F44" s="59"/>
      <c r="G44" s="59"/>
      <c r="H44" s="60"/>
      <c r="I44" s="61">
        <f>J44</f>
        <v>27000</v>
      </c>
      <c r="J44" s="62">
        <v>27000</v>
      </c>
      <c r="K44" s="63"/>
      <c r="L44" s="63"/>
      <c r="M44" s="64">
        <f>J44</f>
        <v>27000</v>
      </c>
      <c r="N44" s="64">
        <f>J44</f>
        <v>27000</v>
      </c>
      <c r="O44" s="64">
        <f>J44</f>
        <v>27000</v>
      </c>
      <c r="P44" s="63"/>
      <c r="Q44" s="65"/>
      <c r="R44" s="65"/>
      <c r="S44" s="65"/>
      <c r="T44" s="66">
        <f>J44</f>
        <v>27000</v>
      </c>
      <c r="U44" s="63"/>
      <c r="V44" s="63"/>
      <c r="W44" s="65"/>
      <c r="X44" s="65"/>
      <c r="Y44" s="65"/>
      <c r="Z44" s="67">
        <f>J44</f>
        <v>27000</v>
      </c>
      <c r="AA44" s="68"/>
      <c r="AB44" s="69"/>
    </row>
    <row r="45" spans="1:28" s="70" customFormat="1" ht="12.75">
      <c r="A45" s="57" t="s">
        <v>191</v>
      </c>
      <c r="B45" s="58"/>
      <c r="C45" s="58"/>
      <c r="D45" s="58"/>
      <c r="E45" s="58"/>
      <c r="F45" s="59"/>
      <c r="G45" s="59"/>
      <c r="H45" s="60"/>
      <c r="I45" s="61">
        <f>J45</f>
        <v>65000</v>
      </c>
      <c r="J45" s="62">
        <v>65000</v>
      </c>
      <c r="K45" s="63"/>
      <c r="L45" s="63"/>
      <c r="M45" s="64">
        <f>J45</f>
        <v>65000</v>
      </c>
      <c r="N45" s="64">
        <f>J45</f>
        <v>65000</v>
      </c>
      <c r="O45" s="64">
        <f>J45</f>
        <v>65000</v>
      </c>
      <c r="P45" s="63"/>
      <c r="Q45" s="65"/>
      <c r="R45" s="65"/>
      <c r="S45" s="65"/>
      <c r="T45" s="66">
        <f>J45</f>
        <v>65000</v>
      </c>
      <c r="U45" s="63"/>
      <c r="V45" s="63"/>
      <c r="W45" s="64"/>
      <c r="X45" s="64"/>
      <c r="Y45" s="65"/>
      <c r="Z45" s="67">
        <f>J45</f>
        <v>65000</v>
      </c>
      <c r="AA45" s="68"/>
      <c r="AB45" s="69"/>
    </row>
    <row r="46" spans="1:28" s="70" customFormat="1" ht="12.75">
      <c r="A46" s="57" t="s">
        <v>192</v>
      </c>
      <c r="B46" s="58"/>
      <c r="C46" s="58"/>
      <c r="D46" s="58"/>
      <c r="E46" s="58"/>
      <c r="F46" s="59"/>
      <c r="G46" s="59"/>
      <c r="H46" s="60"/>
      <c r="I46" s="71">
        <f>J46</f>
        <v>1500000</v>
      </c>
      <c r="J46" s="62">
        <v>1500000</v>
      </c>
      <c r="K46" s="63"/>
      <c r="L46" s="63"/>
      <c r="M46" s="62">
        <f>J46</f>
        <v>1500000</v>
      </c>
      <c r="N46" s="62">
        <f>J46</f>
        <v>1500000</v>
      </c>
      <c r="O46" s="64">
        <f>J46</f>
        <v>1500000</v>
      </c>
      <c r="P46" s="63"/>
      <c r="Q46" s="65"/>
      <c r="R46" s="65"/>
      <c r="S46" s="65"/>
      <c r="T46" s="66">
        <f>J46</f>
        <v>1500000</v>
      </c>
      <c r="U46" s="63"/>
      <c r="V46" s="63"/>
      <c r="W46" s="64">
        <f>J46</f>
        <v>1500000</v>
      </c>
      <c r="X46" s="64"/>
      <c r="Y46" s="65"/>
      <c r="Z46" s="67">
        <f>J46</f>
        <v>1500000</v>
      </c>
      <c r="AA46" s="68"/>
      <c r="AB46" s="69"/>
    </row>
    <row r="47" spans="1:28" ht="12.75">
      <c r="A47" s="43"/>
      <c r="B47" s="72"/>
      <c r="C47" s="72"/>
      <c r="D47" s="72"/>
      <c r="E47" s="72"/>
      <c r="F47" s="73" t="s">
        <v>193</v>
      </c>
      <c r="G47" s="73"/>
      <c r="H47" s="72"/>
      <c r="I47" s="74">
        <f>SUM(I43:I46)</f>
        <v>44789610</v>
      </c>
      <c r="J47" s="75">
        <f>SUM(J43:J46)</f>
        <v>31525060</v>
      </c>
      <c r="K47" s="75"/>
      <c r="L47" s="75"/>
      <c r="M47" s="75">
        <f>SUM(M43:M46)</f>
        <v>45991055</v>
      </c>
      <c r="N47" s="75">
        <f>SUM(N43:N46)</f>
        <v>45568666</v>
      </c>
      <c r="O47" s="75">
        <f>SUM(O43:O46)</f>
        <v>26336824</v>
      </c>
      <c r="P47" s="75"/>
      <c r="Q47" s="75"/>
      <c r="R47" s="75"/>
      <c r="S47" s="75"/>
      <c r="T47" s="74">
        <f>SUM(T43:T46)</f>
        <v>33145198</v>
      </c>
      <c r="U47" s="75"/>
      <c r="V47" s="75"/>
      <c r="W47" s="75">
        <f>SUM(W43:W46)</f>
        <v>8895924</v>
      </c>
      <c r="X47" s="75"/>
      <c r="Y47" s="75"/>
      <c r="Z47" s="75">
        <f>SUM(Z43:Z46)</f>
        <v>45991055</v>
      </c>
      <c r="AA47" s="76"/>
      <c r="AB47" s="77"/>
    </row>
    <row r="49" ht="12.75">
      <c r="J49" s="78"/>
    </row>
    <row r="51" spans="15:18" ht="12.75">
      <c r="O51" s="78"/>
      <c r="P51" s="78"/>
      <c r="Q51" s="78"/>
      <c r="R51" s="78"/>
    </row>
    <row r="52" ht="12.75">
      <c r="J52" s="78"/>
    </row>
    <row r="54" ht="12.75">
      <c r="J54" s="78"/>
    </row>
  </sheetData>
  <mergeCells count="2">
    <mergeCell ref="N2:Z2"/>
    <mergeCell ref="A1:AA1"/>
  </mergeCells>
  <printOptions horizontalCentered="1" verticalCentered="1"/>
  <pageMargins left="0" right="0" top="0" bottom="0" header="0" footer="0"/>
  <pageSetup blackAndWhite="1" horizontalDpi="300" verticalDpi="300" orientation="landscape" pageOrder="overThenDown" paperSize="9" scale="70" r:id="rId1"/>
  <headerFooter alignWithMargins="0">
    <oddHeader xml:space="preserve">&amp;C  </oddHeader>
    <oddFooter xml:space="preserve">&amp;C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kbjsa</cp:lastModifiedBy>
  <cp:lastPrinted>2009-11-12T12:19:39Z</cp:lastPrinted>
  <dcterms:created xsi:type="dcterms:W3CDTF">2009-11-12T11:49:14Z</dcterms:created>
  <dcterms:modified xsi:type="dcterms:W3CDTF">2009-11-18T11:19:36Z</dcterms:modified>
  <cp:category/>
  <cp:version/>
  <cp:contentType/>
  <cp:contentStatus/>
</cp:coreProperties>
</file>