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65" windowWidth="9690" windowHeight="5985" activeTab="0"/>
  </bookViews>
  <sheets>
    <sheet name="I-VI 2009r." sheetId="1" r:id="rId1"/>
  </sheets>
  <definedNames>
    <definedName name="_xlnm.Print_Titles" localSheetId="0">'I-VI 2009r.'!$2:$4</definedName>
  </definedNames>
  <calcPr fullCalcOnLoad="1"/>
</workbook>
</file>

<file path=xl/sharedStrings.xml><?xml version="1.0" encoding="utf-8"?>
<sst xmlns="http://schemas.openxmlformats.org/spreadsheetml/2006/main" count="483" uniqueCount="283">
  <si>
    <t>Dział</t>
  </si>
  <si>
    <t>Rozdział</t>
  </si>
  <si>
    <t>Paragraf</t>
  </si>
  <si>
    <t>Zadania własne gminy</t>
  </si>
  <si>
    <t>Zadania własne powiatu</t>
  </si>
  <si>
    <t>Zadania zlecone gminy</t>
  </si>
  <si>
    <t>Zadania zlecone powiatu</t>
  </si>
  <si>
    <t>Suma całkowita</t>
  </si>
  <si>
    <t>700 GOSPODARKA MIESZKANIOWA</t>
  </si>
  <si>
    <t>70005 Gospodarka gruntami i nieruchomościami</t>
  </si>
  <si>
    <t>70095 Pozostała działalność</t>
  </si>
  <si>
    <t>700 GOSPODARKA MIESZKANIOWA - Suma</t>
  </si>
  <si>
    <t>710 DZIAŁALNOŚĆ USŁUGOWA</t>
  </si>
  <si>
    <t>71013 Prace geodezyjne i kartograficzne (nieinwestycyjne)</t>
  </si>
  <si>
    <t>71014 Opracowania geodezyjne i kartograficzne</t>
  </si>
  <si>
    <t>71015 Nadzór budowlany</t>
  </si>
  <si>
    <t>710 DZIAŁALNOŚĆ USŁUGOWA - Suma</t>
  </si>
  <si>
    <t>750 ADMINISTRACJA PUBLICZNA</t>
  </si>
  <si>
    <t>75011 Urzędy wojewódzkie</t>
  </si>
  <si>
    <t>75023 Urzędy gmin (miast i miast na prawach powiatu)</t>
  </si>
  <si>
    <t>75045 Komisje poborowe</t>
  </si>
  <si>
    <t>750 ADMINISTRACJA PUBLICZNA - Suma</t>
  </si>
  <si>
    <t>751 URZĘDY NACZELNYCH ORGANÓW WŁADZY PAŃSTWOWEJ, KONTROLI I OCHRONY PRAWA ORAZ SĄDOWNICTWA</t>
  </si>
  <si>
    <t>75101 Urzędy naczelnych organów władzy państwowej, kontroli i ochrony prawa</t>
  </si>
  <si>
    <t>751 URZĘDY NACZELNYCH ORGANÓW WŁADZY PAŃSTWOWEJ, KONTROLI I OCHRONY PRAWA ORAZ SĄDOWNICTWA - Suma</t>
  </si>
  <si>
    <t>754 BEZPIECZEŃSTWO PUBLICZNE I OCHRONA PRZECIWPOŻAROWA</t>
  </si>
  <si>
    <t>75411 Komendy powiatowe Państwowej Straży Pożarnej</t>
  </si>
  <si>
    <t>754 BEZPIECZEŃSTWO PUBLICZNE I OCHRONA PRZECIWPOŻAROWA - Suma</t>
  </si>
  <si>
    <t>75601 Wpływy z podatku dochodowego od osób fizycznych</t>
  </si>
  <si>
    <t>75621 Udziały gmin w podatkach stanowiących dochód budżetu państwa</t>
  </si>
  <si>
    <t>75622 Udziały powiatów w podatkach stanowiących dochód budżetu państwa</t>
  </si>
  <si>
    <t>758 RÓŻNE ROZLICZENIA</t>
  </si>
  <si>
    <t>75801 Część oświatowa subwencji ogólnej dla jednostek samorządu terytorialnego</t>
  </si>
  <si>
    <t>75814 Różne rozliczenia finansowe</t>
  </si>
  <si>
    <t>758 RÓŻNE ROZLICZENIA - Suma</t>
  </si>
  <si>
    <t>801 OŚWIATA I WYCHOWANIE</t>
  </si>
  <si>
    <t>80101 Szkoły podstawowe</t>
  </si>
  <si>
    <t>80102 Szkoły podstawowe specjalne</t>
  </si>
  <si>
    <t>80110 Gimnazja</t>
  </si>
  <si>
    <t>80120 Licea ogólnokształcące</t>
  </si>
  <si>
    <t>80132 Szkoły artystyczne</t>
  </si>
  <si>
    <t>801 OŚWIATA I WYCHOWANIE - Suma</t>
  </si>
  <si>
    <t>851 OCHRONA ZDROWIA</t>
  </si>
  <si>
    <t>851 OCHRONA ZDROWIA - Suma</t>
  </si>
  <si>
    <t>85305 Żłobki</t>
  </si>
  <si>
    <t>85333 Powiatowe urzędy pracy</t>
  </si>
  <si>
    <t>854 EDUKACYJNA OPIEKA WYCHOWAWCZA</t>
  </si>
  <si>
    <t>85403 Specjalne ośrodki szkolno - wychowawcze</t>
  </si>
  <si>
    <t>854 EDUKACYJNA OPIEKA WYCHOWAWCZA - Suma</t>
  </si>
  <si>
    <t>900 GOSPODARKA KOMUNALNA I OCHRONA ŚRODOWISKA</t>
  </si>
  <si>
    <t>90095 Pozostała działalność</t>
  </si>
  <si>
    <t>900 GOSPODARKA KOMUNALNA I OCHRONA ŚRODOWISKA - Suma</t>
  </si>
  <si>
    <t>75416 Straż Miejska</t>
  </si>
  <si>
    <t>926 KULTURA FIZYCZNA I SPORT</t>
  </si>
  <si>
    <t>926 KULTURA FIZYCZNA I SPORT - Suma</t>
  </si>
  <si>
    <t>90017 Zakłady gospodarki komunalnej</t>
  </si>
  <si>
    <t>71035 Cmentarze</t>
  </si>
  <si>
    <t>85121 Lecznictwo ambulatoryjne</t>
  </si>
  <si>
    <t>600 TRANSPORT I ŁĄCZNOŚĆ</t>
  </si>
  <si>
    <t>600 TRANSPORT I ŁĄCZNOŚĆ - Suma</t>
  </si>
  <si>
    <t>60095 Pozostała działalność</t>
  </si>
  <si>
    <t>92601 Obiekty sportowe</t>
  </si>
  <si>
    <t>75618 Wpływy z innych opłat stanowiących dochody j.s.t. na podstawie ustaw</t>
  </si>
  <si>
    <t>2110 dotacje celowe otrzymane z budżetu państwa na zadania bieżące z zakresu administracji rządowej oraz inne zadania zlecone ustawami realizowane przez powiat</t>
  </si>
  <si>
    <t>0690 wpływy z różnych opłat</t>
  </si>
  <si>
    <t>0920 pozostałe odsetki</t>
  </si>
  <si>
    <t>2130 dotacje celowe otrzymane z budżetu państwa na realizację bieżących zadań własnych powiatu</t>
  </si>
  <si>
    <t>0970 wpływy z różnych dochodów</t>
  </si>
  <si>
    <t>0760 wpływy z tytułu przekształcenia prawa użytkowania wieczystego przysługującego osobom fizycznym w prawo własności</t>
  </si>
  <si>
    <t>0830 wpływy z usług</t>
  </si>
  <si>
    <t>2360 dochody j.s.t. związane z realizacją zadań z zakresu administracji rządowej oraz innych zadań zleconych ustawami</t>
  </si>
  <si>
    <t>0470 wpływy z opłat za zarząd, użytkowanie i użytkowanie wieczyste nieruchomości</t>
  </si>
  <si>
    <t>2020 dotacje celowe otrzymane z budżetu państwa na zadania bieżące realizowane przez gminę na podstawie porozumień z organami administracji rządowej</t>
  </si>
  <si>
    <t>0420 wpływy z opłaty komunikacyjnej</t>
  </si>
  <si>
    <t>0590 wpływy z opłat za koncesje i licencje</t>
  </si>
  <si>
    <t>2320 dotacje celowe otrzymane z powiatu na zadania bieżące realizowane na podstawie porozumień (umów) między j.s.t.</t>
  </si>
  <si>
    <t>0480 wpływy z opłat za zezwolenia na sprzedaż alkoholu</t>
  </si>
  <si>
    <t>0570 grzywny, mandaty i inne kary pieniężne od ludności</t>
  </si>
  <si>
    <t>0910 odsetki od nieterminowych wpłat z tytułu podatków i opłat</t>
  </si>
  <si>
    <t>0310 podatek od nieruchomości</t>
  </si>
  <si>
    <t>0320 podatek rolny</t>
  </si>
  <si>
    <t>0330 podatek leśny</t>
  </si>
  <si>
    <t>0340 podatek od środków transportowych</t>
  </si>
  <si>
    <t>0500 podatek od czynności cywilnoprawnych</t>
  </si>
  <si>
    <t>0560 zaległości z podatków zniesionych</t>
  </si>
  <si>
    <t>0360 podatek od spadków i darowizn</t>
  </si>
  <si>
    <t>0430 wpływy z opłaty targowej</t>
  </si>
  <si>
    <t>0440 wpływy z opłaty miejscowej</t>
  </si>
  <si>
    <t>0410 wpływy z opłaty skarbowej</t>
  </si>
  <si>
    <t>0010 podatek dochodowy od osób fizycznych</t>
  </si>
  <si>
    <t>0020 podatek dochodowy od osób prawnych</t>
  </si>
  <si>
    <t>2030 dotacje celowe otrzymane z budżetu państwa na realizację własnych zadań bieżących gmin (związków gmin)</t>
  </si>
  <si>
    <t>6260 dotacje otrzymane z funduszy celowych na finansowanie lub dofinansowanie kosztów realizacji inwestycji i zakupów inwestycyjnych jednostek sektora finansów publicznych</t>
  </si>
  <si>
    <t>756 DOCHODY OD OSÓB PRAWNYCH, OD OSÓB FIZYCZNYCH I OD INNYCH JEDNOSTEK NIE POSIADAJĄCYCH OSOBOWOŚCI PRAWNEJ ORAZ WYDATKI ZWIĄZANE Z ICH POBOREM</t>
  </si>
  <si>
    <t>0750 dochody z najmu i dzierżawy składników majątkowych Skarbu Państwa, j.s.t. lub innych jednostek zaliczanych do sektora finansów publicznych oraz innych umów o podobnym charakterze</t>
  </si>
  <si>
    <t>852 POMOC SPOŁECZNA - Suma</t>
  </si>
  <si>
    <t>852 POMOC SPOŁECZNA</t>
  </si>
  <si>
    <t>85201 Placówki opiekuńczo - wychowawcze</t>
  </si>
  <si>
    <t>85202 Domy pomocy społecznej</t>
  </si>
  <si>
    <t>85203 Ośrodki wsparcia</t>
  </si>
  <si>
    <t>85219 Ośrodki pomocy społecznej</t>
  </si>
  <si>
    <t>853 POZOSTAŁE ZADANIA W ZAKRESIE POLITYKI SPOŁECZNEJ</t>
  </si>
  <si>
    <t>853 POZOSTAŁE ZADANIA W ZAKRESIE POLITYKI SPOŁECZNEJ - Suma</t>
  </si>
  <si>
    <t>60004 Lokalny transport zbiorowy</t>
  </si>
  <si>
    <t>60004 Lokalny transport zbiorowy - razem</t>
  </si>
  <si>
    <t>60015 Drogi publiczne w miastach na prawach powiatu</t>
  </si>
  <si>
    <t>60015 Drogi publiczne w miastach na prawach powiatu - razem</t>
  </si>
  <si>
    <t>60095 Pozostała działalność - razem</t>
  </si>
  <si>
    <t>70005 Gospodarka gruntami i nieruchomościami - razem</t>
  </si>
  <si>
    <t>70095 Pozostała działalność - razem</t>
  </si>
  <si>
    <t>71013 Prace geodezyjne i kartograficzne (nieinwestycyjne) - razem</t>
  </si>
  <si>
    <t>71014 Opracowania geodezyjne i kartograficzne - razem</t>
  </si>
  <si>
    <t>71015 Nadzór budowlany - razem</t>
  </si>
  <si>
    <t>71035 Cmentarze - razem</t>
  </si>
  <si>
    <t>71095 Pozostała działalność - razem</t>
  </si>
  <si>
    <t>2010 dotacje celowe otrzymane z budżetu państwa na realizację zadań bieżących z zakresu administracji rządowej oraz innych zadań zleconych gminie (związkom gmin) ustawami</t>
  </si>
  <si>
    <t>75011 Urzędy wojewódzkie - razem</t>
  </si>
  <si>
    <t>75023 Urzędy gmin (miast i miast na prawach powiatu) - razem</t>
  </si>
  <si>
    <t>75045 Komisje poborowe - razem</t>
  </si>
  <si>
    <t>75101 Urzędy naczelnych organów władzy państwowej, kontroli i ochrony prawa - razem</t>
  </si>
  <si>
    <t>6410 dotacje celowe otrzymane z budżetu państwa na inwestycje i zakupy inwestycyjne z zakresu administracji rządowej oraz inne zadania zlecone ustawami realizowane przez powiat</t>
  </si>
  <si>
    <t>75411 Komendy powiatowe Państwowej Straży Pożarnej - razem</t>
  </si>
  <si>
    <t>75416 Straż Miejska - razem</t>
  </si>
  <si>
    <t>0350 podatek od działalności gospodarczej osób fizycznych opłacany w formie karty podatkowej</t>
  </si>
  <si>
    <t>75601 Wpływy z podatku dochodowego od osób fizycznych - razem</t>
  </si>
  <si>
    <t>75615 Wpływy z podatku rolnego, podatku leśnego, podatku od czynności cywilnoprawnych, podatków i opłat lokalnych od osób prawnych i innych jednostek organizacyjnych</t>
  </si>
  <si>
    <t>75615 Wpływy z podatku rolnego, podatku leśnego, podatku od czynności cywilnoprawnych, podatków i opłat lokalnych od osób prawnych i innych jednostek organizacyjnych - razem</t>
  </si>
  <si>
    <t>75616 Wpływy z podatku rolnego, podatku leśnego, podatku od spadków i darowizn, podatku od czynności cywlnoprawnych oraz podatków i opłat lokalnych od osób fizycznych</t>
  </si>
  <si>
    <t>75616 Wpływy z podatku rolnego, podatku leśnego, podatku od spadków i darowizn, podatku od czynności cywlnoprawnych oraz podatków i opłat lokalnych od osób fizycznych - razem</t>
  </si>
  <si>
    <t>75618 Wpływy z innych opłat stanowiących dochody j.s.t. na podstawie ustaw - razem</t>
  </si>
  <si>
    <t>75621 Udziały gmin w podatkach stanowiących dochód budżetu państwa - razem</t>
  </si>
  <si>
    <t>75622 Udziały powiatów w podatkach stanowiących dochód budżetu państwa - razem</t>
  </si>
  <si>
    <t>756 DOCHODY OD OSÓB PRAWNYCH, OD OSÓB FIZYCZNYCH I OD INNYCH JEDNOSTEK NIE POSIADAJĄCYCH OSOBOWOŚCI PRAWNEJ ORAZ WYDATKI ZWIĄZANE Z ICH POBOREM - Suma</t>
  </si>
  <si>
    <t>2920 subwencje ogólne z bużetu państwa</t>
  </si>
  <si>
    <t>75801 Część oświatowa subwencji ogólnej dla jednostek samorządu terytorialnego - razem</t>
  </si>
  <si>
    <t>75814 Różne rozliczenia finansowe - razem</t>
  </si>
  <si>
    <t>75832 Część równoważąca subwencji ogólnej dla powiatów</t>
  </si>
  <si>
    <t>75832 Część równoważąca subwencji ogólnej dla powiatów - razem</t>
  </si>
  <si>
    <t>80101 Szkoły podstawowe - razem</t>
  </si>
  <si>
    <t>80102 Szkoły podstawowe specjalne - razem</t>
  </si>
  <si>
    <t>80110 Gimnazja - razem</t>
  </si>
  <si>
    <t>80120 Licea ogólnokształcące - razem</t>
  </si>
  <si>
    <t>80130 Szkoły zawodowe</t>
  </si>
  <si>
    <t>80130 Szkoły zawodowe - razem</t>
  </si>
  <si>
    <t>80132 Szkoły artystyczne - razem</t>
  </si>
  <si>
    <t>0870 wpływy ze sprzedaży składników majątkowych</t>
  </si>
  <si>
    <t>85121 Lecznictwo ambulatoryjne - razem</t>
  </si>
  <si>
    <t>85156 Składki na ubezpieczenia zdrowotne oraz świadczenia dla osób nie objętych obowiązkiem ubezpieczenia zdrowotnego</t>
  </si>
  <si>
    <t>85156 Składki na ubezpieczenia zdrowotne oraz świadczenia dla osób nie objętych obowiązkiem ubezpieczenia zdrowotnego - razem</t>
  </si>
  <si>
    <t>85201 Placówki opiekuńczo - wychowawcze - razem</t>
  </si>
  <si>
    <t>85202 Domy pomocy społecznej - razem</t>
  </si>
  <si>
    <t>85203 Ośrodki wsparcia - razem</t>
  </si>
  <si>
    <t>85212 Świadczenia rodzinne oraz składki na ubezpieczenia emerytalne i rentowe z ubezpieczenia społecznego</t>
  </si>
  <si>
    <t>85212 Świadczenia rodzinne oraz składki na ubezpieczenia emerytalne i rentowe z ubezpieczenia społecznego - razem</t>
  </si>
  <si>
    <t>85213 Składki na ubezpieczenie zdrowotne opłacane za osoby pobierające niektóre świadczenia z pomocy społecznej oraz niektóre świadczenia rodzinne</t>
  </si>
  <si>
    <t>85213 Składki na ubezpieczenie zdrowotne opłacane za osoby pobierające niektóre świadczenia z pomocy społecznej oraz niektóre świadczenia rodzinne - razem</t>
  </si>
  <si>
    <t>85214 Zasiłki i pomoc w naturze oraz składki na ubezpieczenia społeczne</t>
  </si>
  <si>
    <t>85214 Zasiłki i pomoc w naturze oraz składki na ubezpieczenia społeczne - razem</t>
  </si>
  <si>
    <t>85219 Ośrodki pomocy społecznej - razem</t>
  </si>
  <si>
    <t>85228 usługi opiekuńcze i specjalistyczne usługi opiekuńcze</t>
  </si>
  <si>
    <t>85228 usługi opiekuńcze i specjalistyczne usługi opiekuńcze - razem</t>
  </si>
  <si>
    <t>85305 Żłobki - razem</t>
  </si>
  <si>
    <t>85321 Zespoły do spraw orzekania o niepełnosprawności</t>
  </si>
  <si>
    <t>85321 Zespoły do spraw orzekania o niepełnosprawności - razem</t>
  </si>
  <si>
    <t>85333 Powiatowe urzędy pracy - razem</t>
  </si>
  <si>
    <t>85403 Specjalne ośrodki szkolno - wychowawcze - razem</t>
  </si>
  <si>
    <t>90017 Zakłady gospodarki komunalnej - razem</t>
  </si>
  <si>
    <t>90095 Pozostała działalność - razem</t>
  </si>
  <si>
    <t>92601 Obiekty sportowe - razem</t>
  </si>
  <si>
    <t>85295 Pozostała działalność</t>
  </si>
  <si>
    <t>85295 Pozostała działalność - razem</t>
  </si>
  <si>
    <t xml:space="preserve">0830 wpływy z usług </t>
  </si>
  <si>
    <t>85204 Rodziny zastępcze</t>
  </si>
  <si>
    <t>85204 Rodziny zastępcze - razem</t>
  </si>
  <si>
    <t>85406 Poradnie psychologiczno - pedagogiczne, w tym poradnie specjalistyczne</t>
  </si>
  <si>
    <t>85406 Poradnie psychologiczno - pedagogiczne, w tym poradnie specjalistyczne suma</t>
  </si>
  <si>
    <t>2390 wpływy do budżetu ze środków specjalnych</t>
  </si>
  <si>
    <t>75815 wpływy do wyjaśnienia</t>
  </si>
  <si>
    <t>75815 - wpływy do wyjaśnienia - razem</t>
  </si>
  <si>
    <t>2980 wpływy do wyjaśnienia</t>
  </si>
  <si>
    <t>80104 Przedszkola</t>
  </si>
  <si>
    <t>80104 Przedszkola - razem</t>
  </si>
  <si>
    <t xml:space="preserve">80146 Dokształcanie i doskonalenie nauczycieli </t>
  </si>
  <si>
    <t>80146 Dokształcanie i doskonalenie nauczycieli - razem</t>
  </si>
  <si>
    <t>80195 Pozostała działalność</t>
  </si>
  <si>
    <t>80195 Pozostała działalność - razem</t>
  </si>
  <si>
    <t>2910 wpływy ze zwrotów dotacji wykorzystanych niezgodnie z przeznaczeniem lub pobranych w nadmiernej wysokości</t>
  </si>
  <si>
    <t xml:space="preserve">85153 Zwalczanie narkomanii </t>
  </si>
  <si>
    <t>85153 Zwalczanie narkomanii - razem</t>
  </si>
  <si>
    <t>85154 Przeciwdziałanie alkoholizmowi</t>
  </si>
  <si>
    <t xml:space="preserve">85154 Przeciwdziałanie alkoholizmowi - razem </t>
  </si>
  <si>
    <t>85158 Izby wytrzeźwiń - razem</t>
  </si>
  <si>
    <t>85195 Pozostała działalność</t>
  </si>
  <si>
    <t>85215 Dodatki mieszkaniowe</t>
  </si>
  <si>
    <t>85215 Dodatki mieszkaniowe - razem</t>
  </si>
  <si>
    <t>85311 Rehabilitacja zawodowa i społeczna osób niepełnosprawnych</t>
  </si>
  <si>
    <t>85415 Pomoc materialna dla uczniów</t>
  </si>
  <si>
    <t>90003 Oczyszczanie miast i wsi</t>
  </si>
  <si>
    <t>90004 Utrzymanie zieleni w miastach i gminach</t>
  </si>
  <si>
    <t>921 KULTURA I OCHRONA DZIEDZICTWA NARODOWEGO</t>
  </si>
  <si>
    <t>92118 Muzea</t>
  </si>
  <si>
    <t>92605 Zadania w zakresie kultury fizycznej i sportu</t>
  </si>
  <si>
    <t>92605 Zadania w zakresie kultury fizycznej i sportu- razem</t>
  </si>
  <si>
    <t>2310 dotacje celowe otrzymane z gminy na zadania bieżące realizowane na podstawie porozumień (umów) między jednostkami samorządu terytorialnego</t>
  </si>
  <si>
    <t>0770 wpłaty z tytułu odpłatnego nabycia prawa własności oraz prawa użytkowania wieczystego nieruchomości</t>
  </si>
  <si>
    <t>Wyszczególnienie</t>
  </si>
  <si>
    <t xml:space="preserve">wykonanie </t>
  </si>
  <si>
    <t>% wyk.</t>
  </si>
  <si>
    <t xml:space="preserve">Przychody, w tym: </t>
  </si>
  <si>
    <t>wolne środki</t>
  </si>
  <si>
    <t xml:space="preserve">kredyt </t>
  </si>
  <si>
    <t>Razem dochody i przychody</t>
  </si>
  <si>
    <t>2708 środki na dofinansowanie własnych zadań bieżących gmin ( związków gmin), powiatów (związków powiatów), samorządów województw, pozyskane z innych źródeł</t>
  </si>
  <si>
    <t xml:space="preserve">0580 grzywny i inne kary pieniężne od osób prawnych i innych jednostek organizacyjnych </t>
  </si>
  <si>
    <t>2440 dotacje otrzymane z funduszy celowych na realizację zadań bieżących jednostek sektora finansów publicznych</t>
  </si>
  <si>
    <t>90011 Fundusz Ochrony Środowiska i Gospodarki Wodnej</t>
  </si>
  <si>
    <t>90011 Fundusz Ochrony Środowiska i Gospodarki Wodnej - Suma</t>
  </si>
  <si>
    <t>85415 Pomoc materialna dla uczniów - suma</t>
  </si>
  <si>
    <t>90003 Oczyszczanie miast i wsi - suma</t>
  </si>
  <si>
    <t>90004 Utrzymanie zieleni w miastach i gminach - suma</t>
  </si>
  <si>
    <t>63095 Pozostała działalność - razem</t>
  </si>
  <si>
    <t>630 TURYSTYKA</t>
  </si>
  <si>
    <t>630 TURYSTYKA - Suma</t>
  </si>
  <si>
    <t xml:space="preserve">63095 Pozostała działalność </t>
  </si>
  <si>
    <t>85395 Pozostała działalność</t>
  </si>
  <si>
    <t>85395 Pozostała działalność - razem</t>
  </si>
  <si>
    <t>2888 dotacja celowa przekazana jednostce samorządu terytorialnego przez inną jednostkę samorządu terytorialnego będącą instytucją wdrażającą na zadania bieżące realizowane na podstawie porozumień (umów)</t>
  </si>
  <si>
    <t>2889 dotacja celowa przekazana jednostce samorządu terytorialnego przez inną jednostkę samorządu terytorialnego będącą instytucją wdrażającą na zadania bieżące realizowane na podstawie porozumień (umów)</t>
  </si>
  <si>
    <t>0840 wpływy ze sprzedaży wyrobów</t>
  </si>
  <si>
    <t xml:space="preserve">plan </t>
  </si>
  <si>
    <t>6298 środki na dofinansowanie własnych inwestycji gmin (związków gmin), powiatów (związków powiatów), samorządów województw, pozyskane z innych źródeł</t>
  </si>
  <si>
    <t>6299 środki na dofinansowanie własnych inwestycji gmin (związków gmin), powiatów (związków powiatów), samorządów województw, pozyskane z innych źródeł</t>
  </si>
  <si>
    <t>92118 Muzea - razem</t>
  </si>
  <si>
    <t>0900 odsetki od dotacji wykorzystanych niezgodnie z przeznaczeniem lub pobranych w nadmiernej wysokości</t>
  </si>
  <si>
    <t>0490 wpływy z innych lokalnych opłat pobieranych przez jednostki samorządu terytorialnego na podstawie odrębnych ustaw</t>
  </si>
  <si>
    <t xml:space="preserve">2690 środki z Funduszu Pracy otrzymane przez powiat z przeznaczeniem na finansowanie kosztów wynagrodzenia i składek na ubezpieczenia społeczne pracowników powiatowego urzędu pracy </t>
  </si>
  <si>
    <t>70001 Zakłady gospodarki mieszkaniowej</t>
  </si>
  <si>
    <t>70001 Zakłady gospodarki mieszkaniowej - razem</t>
  </si>
  <si>
    <t>2380 wpływy do budżetu części zysku gospodarstwa pomocniczego</t>
  </si>
  <si>
    <t>80197 Gospodarstwa pomocnicze</t>
  </si>
  <si>
    <t>80197 Gospodarstwa pomocnicze - razem</t>
  </si>
  <si>
    <t>0680 wpływy od rodziców z tytułu odpłatności za utrzymanie dzieci (wychowanków) w placówkach opiekuńczo - wychowawczych</t>
  </si>
  <si>
    <t>pożyczka na prefinansowanie</t>
  </si>
  <si>
    <t>2707 środki na dofinansowanie własnych zadań bieżących gmin (związków gmin), powiatów (związków powiatów), samorządów województw, pozyskane z innych źródeł</t>
  </si>
  <si>
    <t>0927 pozostałe odsetki</t>
  </si>
  <si>
    <t>92195 Pozostała działalność</t>
  </si>
  <si>
    <t>92195 Pozostała działalność - razem</t>
  </si>
  <si>
    <t>6612 dotacje celowe otrzymane z gminy na inwestycje i zakupy inwestycyjne realiozwane na podstawie porozumień (umów) między jednostkami samorządu terytorialnego</t>
  </si>
  <si>
    <t>zlec.gm.OK.</t>
  </si>
  <si>
    <t>8545 środki pochodzące z Norweskiego Mechanizmu Finansowego oraz Mechanizmu Finansowego Europejskiego Obszaru Gospodarczego przeznaczone na finansowanie zadań realizowanych przez jednostki sektora finansów publicznych</t>
  </si>
  <si>
    <t>2680 rekompensaty utraconych dochodów w podatkach i opłatach lokalnych</t>
  </si>
  <si>
    <t>85158 Izby wytrzeźwień</t>
  </si>
  <si>
    <t>% wyk</t>
  </si>
  <si>
    <t>0928 pozostałe odsetki</t>
  </si>
  <si>
    <t>0927pozostałe odsetki</t>
  </si>
  <si>
    <t xml:space="preserve"> </t>
  </si>
  <si>
    <t>01095 Pozostała działalność  - razem</t>
  </si>
  <si>
    <t>010 ROLNICTWO I ŁOWIECTWO - Suma</t>
  </si>
  <si>
    <t xml:space="preserve">010 ROLNICTWO I ŁOWIECTWO </t>
  </si>
  <si>
    <t>01095 Pozostała działalność</t>
  </si>
  <si>
    <t>71003 Biura planowania przestrzennego - razem</t>
  </si>
  <si>
    <t xml:space="preserve">71003 Biura planowania przestrzennego </t>
  </si>
  <si>
    <t xml:space="preserve">71095 Pozostała działalność </t>
  </si>
  <si>
    <t>6300 wpływy z tytułu pomocy finansowej udzielanej między jednostkami samorządu terytorialnego na dofinansowanie własnych zadań inwestycyjnych i zakupów inwestycyjnych</t>
  </si>
  <si>
    <t>2710 wpływy z tytułu pomocy finansowej udzielanej między jednostkami samorządu terytorialnego na dofinansowanie własnych zadań bieżących</t>
  </si>
  <si>
    <t>2460 środki otrzymane od pozostałych jednostek zaliczanych do sektora finansów publicznych na realizację zadań bieżących jednostek zaliczanych do sektora finansów publicznych</t>
  </si>
  <si>
    <t>6620 dotacje celowe otrzymane z powiatu na inwestycje i zakupy inwestycyjne realizowane na podstawie porozumień (umów) między jednostkami samorządu terytorialnego</t>
  </si>
  <si>
    <t>0570 grzywny, mandaty i inne kary pieniężne od osób fizycznych</t>
  </si>
  <si>
    <t>2008 dotacje rozwojowe oraz środki na finansowanie Wspólnej Polityki Rolnej</t>
  </si>
  <si>
    <t>Plan 2009r.</t>
  </si>
  <si>
    <t>2009 dotacje rozwojowe oraz środki na finansowanie Wspólnej Polityki Rolnej</t>
  </si>
  <si>
    <t>85404 Wczesne wspomaganie rozwoju dziecka</t>
  </si>
  <si>
    <t>85404 Wczesne wspomaganie rozwoju dziecka - razem</t>
  </si>
  <si>
    <t>80103 Oddziały przedszkolne w szkołach podstawowych</t>
  </si>
  <si>
    <t>80103 Oddziały przedszkolne w szkołach podstawowych - razem</t>
  </si>
  <si>
    <t xml:space="preserve">75113 Wybory do Parlamentu Europejskiego </t>
  </si>
  <si>
    <t>75113 Wybory do Parlamentu Europejskiego - razem</t>
  </si>
  <si>
    <t>Informacja z wykonania dochodów budżetu miasta za okres I - VI 2009r.</t>
  </si>
  <si>
    <t>Wykonanie za okres I - VI 2009r.</t>
  </si>
  <si>
    <t>6209 dotacje rozwojowe</t>
  </si>
  <si>
    <t>6208 dotacje rozwojowe</t>
  </si>
  <si>
    <t xml:space="preserve">  </t>
  </si>
  <si>
    <t xml:space="preserve">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</si>
</sst>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00%"/>
    <numFmt numFmtId="167" formatCode="#,##0.000"/>
  </numFmts>
  <fonts count="11">
    <font>
      <sz val="8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7"/>
      <color indexed="10"/>
      <name val="Arial CE"/>
      <family val="2"/>
    </font>
    <font>
      <b/>
      <sz val="7"/>
      <color indexed="10"/>
      <name val="Arial CE"/>
      <family val="2"/>
    </font>
    <font>
      <b/>
      <sz val="9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2" fillId="2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left"/>
    </xf>
    <xf numFmtId="3" fontId="1" fillId="0" borderId="6" xfId="0" applyNumberFormat="1" applyFont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2" borderId="7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left"/>
    </xf>
    <xf numFmtId="3" fontId="2" fillId="3" borderId="7" xfId="0" applyNumberFormat="1" applyFont="1" applyFill="1" applyBorder="1" applyAlignment="1">
      <alignment horizontal="left"/>
    </xf>
    <xf numFmtId="3" fontId="3" fillId="3" borderId="7" xfId="0" applyNumberFormat="1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 horizontal="left"/>
    </xf>
    <xf numFmtId="3" fontId="3" fillId="3" borderId="7" xfId="0" applyNumberFormat="1" applyFont="1" applyFill="1" applyBorder="1" applyAlignment="1">
      <alignment horizontal="left"/>
    </xf>
    <xf numFmtId="3" fontId="3" fillId="3" borderId="9" xfId="0" applyNumberFormat="1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left"/>
    </xf>
    <xf numFmtId="3" fontId="2" fillId="0" borderId="7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 wrapText="1"/>
    </xf>
    <xf numFmtId="3" fontId="2" fillId="2" borderId="10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left" vertical="top" wrapText="1"/>
    </xf>
    <xf numFmtId="3" fontId="2" fillId="2" borderId="12" xfId="0" applyNumberFormat="1" applyFont="1" applyFill="1" applyBorder="1" applyAlignment="1">
      <alignment horizontal="left"/>
    </xf>
    <xf numFmtId="3" fontId="1" fillId="0" borderId="13" xfId="0" applyNumberFormat="1" applyFont="1" applyBorder="1" applyAlignment="1">
      <alignment horizontal="left" vertical="top" wrapText="1"/>
    </xf>
    <xf numFmtId="3" fontId="3" fillId="3" borderId="1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3" fontId="7" fillId="2" borderId="1" xfId="0" applyNumberFormat="1" applyFont="1" applyFill="1" applyBorder="1" applyAlignment="1">
      <alignment horizontal="left"/>
    </xf>
    <xf numFmtId="3" fontId="2" fillId="3" borderId="2" xfId="0" applyNumberFormat="1" applyFont="1" applyFill="1" applyBorder="1" applyAlignment="1">
      <alignment horizontal="left"/>
    </xf>
    <xf numFmtId="3" fontId="1" fillId="0" borderId="14" xfId="0" applyNumberFormat="1" applyFont="1" applyBorder="1" applyAlignment="1">
      <alignment horizontal="left" vertical="top" wrapText="1"/>
    </xf>
    <xf numFmtId="0" fontId="1" fillId="2" borderId="0" xfId="0" applyFont="1" applyFill="1" applyAlignment="1">
      <alignment/>
    </xf>
    <xf numFmtId="3" fontId="2" fillId="0" borderId="4" xfId="0" applyNumberFormat="1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left" vertical="top" wrapText="1"/>
    </xf>
    <xf numFmtId="3" fontId="2" fillId="0" borderId="15" xfId="0" applyNumberFormat="1" applyFont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vertical="top" wrapText="1"/>
    </xf>
    <xf numFmtId="3" fontId="3" fillId="2" borderId="1" xfId="0" applyNumberFormat="1" applyFont="1" applyFill="1" applyBorder="1" applyAlignment="1">
      <alignment vertical="center"/>
    </xf>
    <xf numFmtId="3" fontId="2" fillId="0" borderId="8" xfId="0" applyNumberFormat="1" applyFont="1" applyBorder="1" applyAlignment="1">
      <alignment horizontal="left" vertical="top" wrapText="1"/>
    </xf>
    <xf numFmtId="3" fontId="2" fillId="0" borderId="8" xfId="0" applyNumberFormat="1" applyFont="1" applyFill="1" applyBorder="1" applyAlignment="1">
      <alignment horizontal="left" vertical="top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3" fontId="2" fillId="3" borderId="4" xfId="0" applyNumberFormat="1" applyFont="1" applyFill="1" applyBorder="1" applyAlignment="1">
      <alignment horizontal="left"/>
    </xf>
    <xf numFmtId="3" fontId="2" fillId="0" borderId="6" xfId="0" applyNumberFormat="1" applyFont="1" applyFill="1" applyBorder="1" applyAlignment="1">
      <alignment horizontal="left" vertical="top" wrapText="1"/>
    </xf>
    <xf numFmtId="3" fontId="2" fillId="0" borderId="7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 indent="1"/>
    </xf>
    <xf numFmtId="3" fontId="1" fillId="0" borderId="0" xfId="0" applyNumberFormat="1" applyFont="1" applyAlignment="1">
      <alignment vertical="center"/>
    </xf>
    <xf numFmtId="3" fontId="3" fillId="3" borderId="4" xfId="0" applyNumberFormat="1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9" xfId="0" applyNumberFormat="1" applyFont="1" applyBorder="1" applyAlignment="1">
      <alignment horizontal="left" vertical="top" wrapText="1"/>
    </xf>
    <xf numFmtId="10" fontId="1" fillId="0" borderId="0" xfId="0" applyNumberFormat="1" applyFont="1" applyAlignment="1">
      <alignment/>
    </xf>
    <xf numFmtId="164" fontId="1" fillId="0" borderId="1" xfId="19" applyNumberFormat="1" applyFont="1" applyBorder="1" applyAlignment="1">
      <alignment vertical="center"/>
    </xf>
    <xf numFmtId="164" fontId="1" fillId="2" borderId="1" xfId="19" applyNumberFormat="1" applyFont="1" applyFill="1" applyBorder="1" applyAlignment="1">
      <alignment vertical="center"/>
    </xf>
    <xf numFmtId="164" fontId="1" fillId="3" borderId="1" xfId="19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left" vertical="top" wrapText="1"/>
    </xf>
    <xf numFmtId="3" fontId="1" fillId="0" borderId="14" xfId="0" applyNumberFormat="1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" fillId="0" borderId="0" xfId="19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/>
    </xf>
    <xf numFmtId="3" fontId="3" fillId="0" borderId="1" xfId="0" applyNumberFormat="1" applyFont="1" applyBorder="1" applyAlignment="1">
      <alignment vertical="center"/>
    </xf>
    <xf numFmtId="3" fontId="9" fillId="2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3" fontId="1" fillId="0" borderId="8" xfId="0" applyNumberFormat="1" applyFont="1" applyFill="1" applyBorder="1" applyAlignment="1">
      <alignment horizontal="left" vertical="top" wrapText="1"/>
    </xf>
    <xf numFmtId="1" fontId="1" fillId="0" borderId="0" xfId="0" applyNumberFormat="1" applyFont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0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1" fontId="1" fillId="0" borderId="0" xfId="0" applyNumberFormat="1" applyFont="1" applyFill="1" applyAlignment="1">
      <alignment vertical="center"/>
    </xf>
    <xf numFmtId="1" fontId="1" fillId="0" borderId="0" xfId="19" applyNumberFormat="1" applyFont="1" applyBorder="1" applyAlignment="1">
      <alignment vertical="center"/>
    </xf>
    <xf numFmtId="1" fontId="9" fillId="2" borderId="1" xfId="0" applyNumberFormat="1" applyFont="1" applyFill="1" applyBorder="1" applyAlignment="1">
      <alignment vertical="center"/>
    </xf>
    <xf numFmtId="1" fontId="9" fillId="2" borderId="0" xfId="0" applyNumberFormat="1" applyFont="1" applyFill="1" applyAlignment="1">
      <alignment vertical="center"/>
    </xf>
    <xf numFmtId="1" fontId="10" fillId="2" borderId="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164" fontId="1" fillId="0" borderId="1" xfId="19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left" vertical="top" wrapText="1"/>
    </xf>
    <xf numFmtId="3" fontId="2" fillId="0" borderId="15" xfId="0" applyNumberFormat="1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left" vertical="top" wrapText="1"/>
    </xf>
    <xf numFmtId="3" fontId="2" fillId="2" borderId="7" xfId="0" applyNumberFormat="1" applyFont="1" applyFill="1" applyBorder="1" applyAlignment="1">
      <alignment horizontal="left" vertical="top" wrapText="1"/>
    </xf>
    <xf numFmtId="3" fontId="2" fillId="3" borderId="7" xfId="0" applyNumberFormat="1" applyFont="1" applyFill="1" applyBorder="1" applyAlignment="1">
      <alignment horizontal="left" vertical="top" wrapText="1"/>
    </xf>
    <xf numFmtId="3" fontId="2" fillId="3" borderId="11" xfId="0" applyNumberFormat="1" applyFont="1" applyFill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left" vertical="top" wrapText="1"/>
    </xf>
    <xf numFmtId="3" fontId="2" fillId="2" borderId="7" xfId="0" applyNumberFormat="1" applyFont="1" applyFill="1" applyBorder="1" applyAlignment="1">
      <alignment horizontal="left"/>
    </xf>
    <xf numFmtId="3" fontId="2" fillId="2" borderId="11" xfId="0" applyNumberFormat="1" applyFont="1" applyFill="1" applyBorder="1" applyAlignment="1">
      <alignment horizontal="left"/>
    </xf>
    <xf numFmtId="3" fontId="1" fillId="0" borderId="20" xfId="0" applyNumberFormat="1" applyFont="1" applyBorder="1" applyAlignment="1">
      <alignment horizontal="left" vertical="top" wrapText="1"/>
    </xf>
    <xf numFmtId="164" fontId="3" fillId="0" borderId="1" xfId="19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5"/>
  <sheetViews>
    <sheetView tabSelected="1" workbookViewId="0" topLeftCell="A1">
      <pane xSplit="3" ySplit="4" topLeftCell="I3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342" sqref="J342"/>
    </sheetView>
  </sheetViews>
  <sheetFormatPr defaultColWidth="9.140625" defaultRowHeight="12"/>
  <cols>
    <col min="1" max="1" width="13.7109375" style="8" customWidth="1"/>
    <col min="2" max="2" width="18.8515625" style="8" customWidth="1"/>
    <col min="3" max="3" width="37.140625" style="8" customWidth="1"/>
    <col min="4" max="4" width="13.8515625" style="89" customWidth="1"/>
    <col min="5" max="5" width="14.00390625" style="89" customWidth="1"/>
    <col min="6" max="6" width="12.8515625" style="89" customWidth="1"/>
    <col min="7" max="7" width="12.7109375" style="89" customWidth="1"/>
    <col min="8" max="8" width="13.8515625" style="62" customWidth="1"/>
    <col min="9" max="9" width="13.8515625" style="110" customWidth="1"/>
    <col min="10" max="10" width="14.00390625" style="110" customWidth="1"/>
    <col min="11" max="11" width="12.8515625" style="110" customWidth="1"/>
    <col min="12" max="12" width="12.7109375" style="110" customWidth="1"/>
    <col min="13" max="13" width="13.8515625" style="62" customWidth="1"/>
    <col min="14" max="14" width="9.140625" style="1" customWidth="1"/>
    <col min="15" max="15" width="12.8515625" style="1" customWidth="1"/>
    <col min="16" max="16" width="19.421875" style="1" customWidth="1"/>
    <col min="17" max="17" width="9.28125" style="1" customWidth="1"/>
    <col min="18" max="18" width="13.140625" style="1" customWidth="1"/>
    <col min="19" max="19" width="9.140625" style="1" customWidth="1"/>
    <col min="20" max="16384" width="9.28125" style="1" customWidth="1"/>
  </cols>
  <sheetData>
    <row r="1" spans="1:17" s="81" customFormat="1" ht="30" customHeight="1">
      <c r="A1" s="155" t="s">
        <v>277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81" t="s">
        <v>255</v>
      </c>
      <c r="P1" s="81" t="s">
        <v>255</v>
      </c>
      <c r="Q1" s="81" t="s">
        <v>255</v>
      </c>
    </row>
    <row r="2" spans="1:15" s="81" customFormat="1" ht="15" customHeight="1">
      <c r="A2" s="152" t="s">
        <v>0</v>
      </c>
      <c r="B2" s="152" t="s">
        <v>1</v>
      </c>
      <c r="C2" s="152" t="s">
        <v>2</v>
      </c>
      <c r="D2" s="150" t="s">
        <v>269</v>
      </c>
      <c r="E2" s="150"/>
      <c r="F2" s="150"/>
      <c r="G2" s="150"/>
      <c r="H2" s="150"/>
      <c r="I2" s="150" t="s">
        <v>278</v>
      </c>
      <c r="J2" s="150"/>
      <c r="K2" s="150"/>
      <c r="L2" s="150"/>
      <c r="M2" s="150"/>
      <c r="N2" s="156" t="s">
        <v>252</v>
      </c>
      <c r="O2" s="82"/>
    </row>
    <row r="3" spans="1:14" s="81" customFormat="1" ht="15" customHeight="1">
      <c r="A3" s="152"/>
      <c r="B3" s="152"/>
      <c r="C3" s="152"/>
      <c r="D3" s="149" t="s">
        <v>3</v>
      </c>
      <c r="E3" s="143" t="s">
        <v>4</v>
      </c>
      <c r="F3" s="143" t="s">
        <v>5</v>
      </c>
      <c r="G3" s="143" t="s">
        <v>6</v>
      </c>
      <c r="H3" s="154" t="s">
        <v>7</v>
      </c>
      <c r="I3" s="151" t="s">
        <v>3</v>
      </c>
      <c r="J3" s="153" t="s">
        <v>4</v>
      </c>
      <c r="K3" s="153" t="s">
        <v>5</v>
      </c>
      <c r="L3" s="153" t="s">
        <v>6</v>
      </c>
      <c r="M3" s="154" t="s">
        <v>7</v>
      </c>
      <c r="N3" s="156"/>
    </row>
    <row r="4" spans="1:14" s="2" customFormat="1" ht="15" customHeight="1">
      <c r="A4" s="152"/>
      <c r="B4" s="152"/>
      <c r="C4" s="152"/>
      <c r="D4" s="149"/>
      <c r="E4" s="143"/>
      <c r="F4" s="143"/>
      <c r="G4" s="143"/>
      <c r="H4" s="154"/>
      <c r="I4" s="151"/>
      <c r="J4" s="153"/>
      <c r="K4" s="153"/>
      <c r="L4" s="153"/>
      <c r="M4" s="154"/>
      <c r="N4" s="156"/>
    </row>
    <row r="5" spans="1:15" s="5" customFormat="1" ht="39" customHeight="1">
      <c r="A5" s="53" t="s">
        <v>258</v>
      </c>
      <c r="B5" s="48" t="s">
        <v>259</v>
      </c>
      <c r="C5" s="73" t="s">
        <v>115</v>
      </c>
      <c r="D5" s="85"/>
      <c r="E5" s="85"/>
      <c r="F5" s="76">
        <v>4702</v>
      </c>
      <c r="G5" s="85"/>
      <c r="H5" s="4">
        <f aca="true" t="shared" si="0" ref="H5:H46">SUM(D5:G5)</f>
        <v>4702</v>
      </c>
      <c r="I5" s="85"/>
      <c r="J5" s="85"/>
      <c r="K5" s="76">
        <v>4702</v>
      </c>
      <c r="L5" s="85"/>
      <c r="M5" s="4">
        <f aca="true" t="shared" si="1" ref="M5:M46">SUM(I5:L5)</f>
        <v>4702</v>
      </c>
      <c r="N5" s="67">
        <f aca="true" t="shared" si="2" ref="N5:N10">M5/H5</f>
        <v>1</v>
      </c>
      <c r="O5" s="5" t="s">
        <v>255</v>
      </c>
    </row>
    <row r="6" spans="1:14" s="5" customFormat="1" ht="9.75">
      <c r="A6" s="72"/>
      <c r="B6" s="18" t="s">
        <v>256</v>
      </c>
      <c r="C6" s="18"/>
      <c r="D6" s="86">
        <f aca="true" t="shared" si="3" ref="D6:G7">SUM(D5)</f>
        <v>0</v>
      </c>
      <c r="E6" s="86">
        <f t="shared" si="3"/>
        <v>0</v>
      </c>
      <c r="F6" s="86">
        <f t="shared" si="3"/>
        <v>4702</v>
      </c>
      <c r="G6" s="86">
        <f t="shared" si="3"/>
        <v>0</v>
      </c>
      <c r="H6" s="3">
        <f t="shared" si="0"/>
        <v>4702</v>
      </c>
      <c r="I6" s="86">
        <f aca="true" t="shared" si="4" ref="I6:L7">SUM(I5)</f>
        <v>0</v>
      </c>
      <c r="J6" s="86">
        <f t="shared" si="4"/>
        <v>0</v>
      </c>
      <c r="K6" s="86">
        <f t="shared" si="4"/>
        <v>4702</v>
      </c>
      <c r="L6" s="86">
        <f t="shared" si="4"/>
        <v>0</v>
      </c>
      <c r="M6" s="3">
        <f t="shared" si="1"/>
        <v>4702</v>
      </c>
      <c r="N6" s="68">
        <f t="shared" si="2"/>
        <v>1</v>
      </c>
    </row>
    <row r="7" spans="1:14" s="5" customFormat="1" ht="9.75">
      <c r="A7" s="16" t="s">
        <v>257</v>
      </c>
      <c r="B7" s="56"/>
      <c r="C7" s="39"/>
      <c r="D7" s="94">
        <f t="shared" si="3"/>
        <v>0</v>
      </c>
      <c r="E7" s="94">
        <f t="shared" si="3"/>
        <v>0</v>
      </c>
      <c r="F7" s="94">
        <f t="shared" si="3"/>
        <v>4702</v>
      </c>
      <c r="G7" s="94">
        <f t="shared" si="3"/>
        <v>0</v>
      </c>
      <c r="H7" s="71">
        <f t="shared" si="0"/>
        <v>4702</v>
      </c>
      <c r="I7" s="94">
        <f t="shared" si="4"/>
        <v>0</v>
      </c>
      <c r="J7" s="94">
        <f t="shared" si="4"/>
        <v>0</v>
      </c>
      <c r="K7" s="94">
        <f t="shared" si="4"/>
        <v>4702</v>
      </c>
      <c r="L7" s="94">
        <f t="shared" si="4"/>
        <v>0</v>
      </c>
      <c r="M7" s="71">
        <f t="shared" si="1"/>
        <v>4702</v>
      </c>
      <c r="N7" s="69">
        <f t="shared" si="2"/>
        <v>1</v>
      </c>
    </row>
    <row r="8" spans="1:14" ht="11.25" customHeight="1">
      <c r="A8" s="135" t="s">
        <v>58</v>
      </c>
      <c r="B8" s="128" t="s">
        <v>103</v>
      </c>
      <c r="C8" s="9" t="s">
        <v>64</v>
      </c>
      <c r="D8" s="84">
        <v>15000</v>
      </c>
      <c r="E8" s="84"/>
      <c r="F8" s="84"/>
      <c r="G8" s="84"/>
      <c r="H8" s="4">
        <f t="shared" si="0"/>
        <v>15000</v>
      </c>
      <c r="I8" s="84">
        <v>28086.5</v>
      </c>
      <c r="J8" s="84"/>
      <c r="K8" s="84"/>
      <c r="L8" s="84"/>
      <c r="M8" s="4">
        <f t="shared" si="1"/>
        <v>28086.5</v>
      </c>
      <c r="N8" s="67">
        <f t="shared" si="2"/>
        <v>1.8724333333333334</v>
      </c>
    </row>
    <row r="9" spans="1:14" ht="48.75">
      <c r="A9" s="135"/>
      <c r="B9" s="129"/>
      <c r="C9" s="10" t="s">
        <v>94</v>
      </c>
      <c r="D9" s="84">
        <v>50000</v>
      </c>
      <c r="E9" s="84"/>
      <c r="F9" s="84"/>
      <c r="G9" s="84"/>
      <c r="H9" s="4">
        <f t="shared" si="0"/>
        <v>50000</v>
      </c>
      <c r="I9" s="84">
        <v>17371.5</v>
      </c>
      <c r="J9" s="84"/>
      <c r="K9" s="84"/>
      <c r="L9" s="84"/>
      <c r="M9" s="4">
        <f t="shared" si="1"/>
        <v>17371.5</v>
      </c>
      <c r="N9" s="67">
        <f t="shared" si="2"/>
        <v>0.34743</v>
      </c>
    </row>
    <row r="10" spans="1:14" ht="9" customHeight="1">
      <c r="A10" s="135"/>
      <c r="B10" s="129"/>
      <c r="C10" s="10" t="s">
        <v>69</v>
      </c>
      <c r="D10" s="76">
        <f>63941613+2300000</f>
        <v>66241613</v>
      </c>
      <c r="E10" s="84"/>
      <c r="F10" s="84"/>
      <c r="G10" s="84"/>
      <c r="H10" s="4">
        <f t="shared" si="0"/>
        <v>66241613</v>
      </c>
      <c r="I10" s="76">
        <v>28725762.9</v>
      </c>
      <c r="J10" s="84"/>
      <c r="K10" s="84"/>
      <c r="L10" s="84"/>
      <c r="M10" s="4">
        <f t="shared" si="1"/>
        <v>28725762.9</v>
      </c>
      <c r="N10" s="67">
        <f t="shared" si="2"/>
        <v>0.4336513197527361</v>
      </c>
    </row>
    <row r="11" spans="1:16" ht="12.75" customHeight="1">
      <c r="A11" s="135"/>
      <c r="B11" s="129"/>
      <c r="C11" s="10" t="s">
        <v>145</v>
      </c>
      <c r="D11" s="84"/>
      <c r="E11" s="84"/>
      <c r="F11" s="84"/>
      <c r="G11" s="84"/>
      <c r="H11" s="4">
        <f t="shared" si="0"/>
        <v>0</v>
      </c>
      <c r="I11" s="84">
        <v>501.89</v>
      </c>
      <c r="J11" s="84"/>
      <c r="K11" s="84"/>
      <c r="L11" s="84"/>
      <c r="M11" s="4">
        <f t="shared" si="1"/>
        <v>501.89</v>
      </c>
      <c r="N11" s="67"/>
      <c r="P11" s="1" t="s">
        <v>255</v>
      </c>
    </row>
    <row r="12" spans="1:14" ht="9" customHeight="1">
      <c r="A12" s="136"/>
      <c r="B12" s="129"/>
      <c r="C12" s="10" t="s">
        <v>65</v>
      </c>
      <c r="D12" s="84">
        <v>21000</v>
      </c>
      <c r="E12" s="84"/>
      <c r="F12" s="84"/>
      <c r="G12" s="84"/>
      <c r="H12" s="4">
        <f t="shared" si="0"/>
        <v>21000</v>
      </c>
      <c r="I12" s="84">
        <v>12896.52</v>
      </c>
      <c r="J12" s="84"/>
      <c r="K12" s="84"/>
      <c r="L12" s="84"/>
      <c r="M12" s="4">
        <f t="shared" si="1"/>
        <v>12896.52</v>
      </c>
      <c r="N12" s="67">
        <f aca="true" t="shared" si="5" ref="N12:N18">M12/H12</f>
        <v>0.61412</v>
      </c>
    </row>
    <row r="13" spans="1:15" ht="9.75">
      <c r="A13" s="52"/>
      <c r="B13" s="129"/>
      <c r="C13" s="12" t="s">
        <v>67</v>
      </c>
      <c r="D13" s="84">
        <f>2650000+5000</f>
        <v>2655000</v>
      </c>
      <c r="E13" s="84"/>
      <c r="F13" s="84"/>
      <c r="G13" s="84"/>
      <c r="H13" s="4">
        <f t="shared" si="0"/>
        <v>2655000</v>
      </c>
      <c r="I13" s="84">
        <v>1911323.74</v>
      </c>
      <c r="J13" s="84"/>
      <c r="K13" s="84"/>
      <c r="L13" s="84"/>
      <c r="M13" s="4">
        <f t="shared" si="1"/>
        <v>1911323.74</v>
      </c>
      <c r="N13" s="67">
        <f t="shared" si="5"/>
        <v>0.7198959472693032</v>
      </c>
      <c r="O13" s="66"/>
    </row>
    <row r="14" spans="1:14" ht="39.75" customHeight="1">
      <c r="A14" s="52"/>
      <c r="B14" s="129"/>
      <c r="C14" s="12" t="s">
        <v>203</v>
      </c>
      <c r="D14" s="84">
        <f>6117354+1072901</f>
        <v>7190255</v>
      </c>
      <c r="E14" s="84"/>
      <c r="F14" s="84"/>
      <c r="G14" s="84"/>
      <c r="H14" s="4">
        <f t="shared" si="0"/>
        <v>7190255</v>
      </c>
      <c r="I14" s="84">
        <v>2868162.56</v>
      </c>
      <c r="J14" s="84"/>
      <c r="K14" s="84"/>
      <c r="L14" s="84"/>
      <c r="M14" s="4">
        <f t="shared" si="1"/>
        <v>2868162.56</v>
      </c>
      <c r="N14" s="67">
        <f t="shared" si="5"/>
        <v>0.39889580550342096</v>
      </c>
    </row>
    <row r="15" spans="1:14" ht="29.25" hidden="1">
      <c r="A15" s="52"/>
      <c r="B15" s="129"/>
      <c r="C15" s="10" t="s">
        <v>214</v>
      </c>
      <c r="D15" s="84"/>
      <c r="E15" s="84"/>
      <c r="F15" s="84"/>
      <c r="G15" s="84"/>
      <c r="H15" s="4">
        <f t="shared" si="0"/>
        <v>0</v>
      </c>
      <c r="I15" s="84"/>
      <c r="J15" s="84"/>
      <c r="K15" s="84"/>
      <c r="L15" s="84"/>
      <c r="M15" s="4">
        <f t="shared" si="1"/>
        <v>0</v>
      </c>
      <c r="N15" s="67" t="e">
        <f t="shared" si="5"/>
        <v>#DIV/0!</v>
      </c>
    </row>
    <row r="16" spans="1:14" ht="39.75" customHeight="1">
      <c r="A16" s="52"/>
      <c r="B16" s="129"/>
      <c r="C16" s="12" t="s">
        <v>212</v>
      </c>
      <c r="D16" s="84">
        <v>39456</v>
      </c>
      <c r="E16" s="84"/>
      <c r="F16" s="84"/>
      <c r="G16" s="84"/>
      <c r="H16" s="4">
        <f t="shared" si="0"/>
        <v>39456</v>
      </c>
      <c r="I16" s="84">
        <v>48747.32</v>
      </c>
      <c r="J16" s="84"/>
      <c r="K16" s="84"/>
      <c r="L16" s="84"/>
      <c r="M16" s="4">
        <f t="shared" si="1"/>
        <v>48747.32</v>
      </c>
      <c r="N16" s="67">
        <f t="shared" si="5"/>
        <v>1.235485604217356</v>
      </c>
    </row>
    <row r="17" spans="1:16" ht="29.25" customHeight="1">
      <c r="A17" s="52"/>
      <c r="B17" s="130"/>
      <c r="C17" s="12" t="s">
        <v>264</v>
      </c>
      <c r="D17" s="84">
        <f>350000+37566</f>
        <v>387566</v>
      </c>
      <c r="E17" s="84"/>
      <c r="F17" s="84"/>
      <c r="G17" s="84"/>
      <c r="H17" s="4">
        <f t="shared" si="0"/>
        <v>387566</v>
      </c>
      <c r="I17" s="84">
        <v>37566</v>
      </c>
      <c r="J17" s="84"/>
      <c r="K17" s="84"/>
      <c r="L17" s="84"/>
      <c r="M17" s="4">
        <f t="shared" si="1"/>
        <v>37566</v>
      </c>
      <c r="N17" s="67">
        <f t="shared" si="5"/>
        <v>0.09692800710072606</v>
      </c>
      <c r="P17" s="1" t="s">
        <v>255</v>
      </c>
    </row>
    <row r="18" spans="1:14" ht="9" customHeight="1">
      <c r="A18" s="52"/>
      <c r="B18" s="22" t="s">
        <v>104</v>
      </c>
      <c r="C18" s="18"/>
      <c r="D18" s="86">
        <f>SUM(D8:D17)</f>
        <v>76599890</v>
      </c>
      <c r="E18" s="86">
        <f>SUM(E8:E17)</f>
        <v>0</v>
      </c>
      <c r="F18" s="86">
        <f>SUM(F8:F17)</f>
        <v>0</v>
      </c>
      <c r="G18" s="86">
        <f>SUM(G8:G17)</f>
        <v>0</v>
      </c>
      <c r="H18" s="3">
        <f t="shared" si="0"/>
        <v>76599890</v>
      </c>
      <c r="I18" s="86">
        <f>SUM(I8:I17)</f>
        <v>33650418.93</v>
      </c>
      <c r="J18" s="86">
        <f>SUM(J8:J17)</f>
        <v>0</v>
      </c>
      <c r="K18" s="86">
        <f>SUM(K8:K17)</f>
        <v>0</v>
      </c>
      <c r="L18" s="86">
        <f>SUM(L8:L17)</f>
        <v>0</v>
      </c>
      <c r="M18" s="3">
        <f t="shared" si="1"/>
        <v>33650418.93</v>
      </c>
      <c r="N18" s="68">
        <f t="shared" si="5"/>
        <v>0.4393011390747428</v>
      </c>
    </row>
    <row r="19" spans="1:14" s="5" customFormat="1" ht="20.25" customHeight="1">
      <c r="A19" s="53"/>
      <c r="B19" s="128" t="s">
        <v>105</v>
      </c>
      <c r="C19" s="33" t="s">
        <v>267</v>
      </c>
      <c r="D19" s="85"/>
      <c r="E19" s="76"/>
      <c r="F19" s="85"/>
      <c r="G19" s="85"/>
      <c r="H19" s="4">
        <f t="shared" si="0"/>
        <v>0</v>
      </c>
      <c r="I19" s="85"/>
      <c r="J19" s="76">
        <v>25265.88</v>
      </c>
      <c r="K19" s="85"/>
      <c r="L19" s="85"/>
      <c r="M19" s="4">
        <f t="shared" si="1"/>
        <v>25265.88</v>
      </c>
      <c r="N19" s="67"/>
    </row>
    <row r="20" spans="1:14" s="5" customFormat="1" ht="18.75" customHeight="1">
      <c r="A20" s="53"/>
      <c r="B20" s="129"/>
      <c r="C20" s="33" t="s">
        <v>213</v>
      </c>
      <c r="D20" s="85"/>
      <c r="E20" s="76"/>
      <c r="F20" s="85"/>
      <c r="G20" s="85"/>
      <c r="H20" s="4">
        <f t="shared" si="0"/>
        <v>0</v>
      </c>
      <c r="I20" s="85"/>
      <c r="J20" s="76">
        <v>195915.31</v>
      </c>
      <c r="K20" s="85"/>
      <c r="L20" s="85"/>
      <c r="M20" s="4">
        <f t="shared" si="1"/>
        <v>195915.31</v>
      </c>
      <c r="N20" s="67"/>
    </row>
    <row r="21" spans="1:14" s="5" customFormat="1" ht="9.75" customHeight="1">
      <c r="A21" s="53"/>
      <c r="B21" s="129"/>
      <c r="C21" s="35" t="s">
        <v>64</v>
      </c>
      <c r="D21" s="85"/>
      <c r="E21" s="76">
        <f>2100000</f>
        <v>2100000</v>
      </c>
      <c r="F21" s="85"/>
      <c r="G21" s="85"/>
      <c r="H21" s="4">
        <f t="shared" si="0"/>
        <v>2100000</v>
      </c>
      <c r="I21" s="85"/>
      <c r="J21" s="76">
        <v>1229454.42</v>
      </c>
      <c r="K21" s="85"/>
      <c r="L21" s="85"/>
      <c r="M21" s="4">
        <f t="shared" si="1"/>
        <v>1229454.42</v>
      </c>
      <c r="N21" s="67">
        <f>M21/H21</f>
        <v>0.5854544857142857</v>
      </c>
    </row>
    <row r="22" spans="1:14" s="5" customFormat="1" ht="50.25" customHeight="1">
      <c r="A22" s="53"/>
      <c r="B22" s="129"/>
      <c r="C22" s="33" t="s">
        <v>94</v>
      </c>
      <c r="D22" s="85"/>
      <c r="E22" s="76">
        <v>40000</v>
      </c>
      <c r="F22" s="85"/>
      <c r="G22" s="85"/>
      <c r="H22" s="4">
        <f t="shared" si="0"/>
        <v>40000</v>
      </c>
      <c r="I22" s="85"/>
      <c r="J22" s="76"/>
      <c r="K22" s="85"/>
      <c r="L22" s="85"/>
      <c r="M22" s="4">
        <f t="shared" si="1"/>
        <v>0</v>
      </c>
      <c r="N22" s="67">
        <f>M22/H22</f>
        <v>0</v>
      </c>
    </row>
    <row r="23" spans="1:14" s="5" customFormat="1" ht="9" customHeight="1">
      <c r="A23" s="53"/>
      <c r="B23" s="129"/>
      <c r="C23" s="10" t="s">
        <v>69</v>
      </c>
      <c r="D23" s="85"/>
      <c r="E23" s="76">
        <v>3603768</v>
      </c>
      <c r="F23" s="85"/>
      <c r="G23" s="85"/>
      <c r="H23" s="4">
        <f t="shared" si="0"/>
        <v>3603768</v>
      </c>
      <c r="I23" s="85"/>
      <c r="J23" s="76"/>
      <c r="K23" s="85"/>
      <c r="L23" s="85"/>
      <c r="M23" s="4">
        <f t="shared" si="1"/>
        <v>0</v>
      </c>
      <c r="N23" s="67">
        <f>M23/H23</f>
        <v>0</v>
      </c>
    </row>
    <row r="24" spans="1:14" s="5" customFormat="1" ht="9" customHeight="1">
      <c r="A24" s="53"/>
      <c r="B24" s="129"/>
      <c r="C24" s="33" t="s">
        <v>65</v>
      </c>
      <c r="D24" s="85"/>
      <c r="E24" s="76"/>
      <c r="F24" s="85"/>
      <c r="G24" s="85"/>
      <c r="H24" s="4">
        <f t="shared" si="0"/>
        <v>0</v>
      </c>
      <c r="I24" s="85"/>
      <c r="J24" s="76">
        <v>2563.66</v>
      </c>
      <c r="K24" s="85"/>
      <c r="L24" s="85"/>
      <c r="M24" s="4">
        <f t="shared" si="1"/>
        <v>2563.66</v>
      </c>
      <c r="N24" s="67"/>
    </row>
    <row r="25" spans="1:14" s="5" customFormat="1" ht="9.75">
      <c r="A25" s="53"/>
      <c r="B25" s="129"/>
      <c r="C25" s="33" t="s">
        <v>67</v>
      </c>
      <c r="D25" s="84"/>
      <c r="E25" s="76"/>
      <c r="F25" s="85"/>
      <c r="G25" s="85"/>
      <c r="H25" s="4">
        <f t="shared" si="0"/>
        <v>0</v>
      </c>
      <c r="I25" s="84"/>
      <c r="J25" s="76">
        <v>22024.91</v>
      </c>
      <c r="K25" s="85"/>
      <c r="L25" s="85"/>
      <c r="M25" s="4">
        <f t="shared" si="1"/>
        <v>22024.91</v>
      </c>
      <c r="N25" s="67"/>
    </row>
    <row r="26" spans="1:14" ht="39" customHeight="1">
      <c r="A26" s="52"/>
      <c r="B26" s="129"/>
      <c r="C26" s="40" t="s">
        <v>230</v>
      </c>
      <c r="D26" s="84"/>
      <c r="E26" s="76">
        <f>11233471+9749923</f>
        <v>20983394</v>
      </c>
      <c r="F26" s="84"/>
      <c r="G26" s="84"/>
      <c r="H26" s="4">
        <f t="shared" si="0"/>
        <v>20983394</v>
      </c>
      <c r="I26" s="84"/>
      <c r="J26" s="76">
        <v>3143879.07</v>
      </c>
      <c r="K26" s="84"/>
      <c r="L26" s="84"/>
      <c r="M26" s="4">
        <f t="shared" si="1"/>
        <v>3143879.07</v>
      </c>
      <c r="N26" s="67">
        <f>M26/H26</f>
        <v>0.14982700463042345</v>
      </c>
    </row>
    <row r="27" spans="1:14" ht="39" customHeight="1">
      <c r="A27" s="52"/>
      <c r="B27" s="130"/>
      <c r="C27" s="40" t="s">
        <v>266</v>
      </c>
      <c r="D27" s="84"/>
      <c r="E27" s="84">
        <v>5850000</v>
      </c>
      <c r="F27" s="84"/>
      <c r="G27" s="84"/>
      <c r="H27" s="4">
        <f t="shared" si="0"/>
        <v>5850000</v>
      </c>
      <c r="I27" s="84"/>
      <c r="J27" s="84"/>
      <c r="K27" s="84"/>
      <c r="L27" s="84"/>
      <c r="M27" s="4">
        <f t="shared" si="1"/>
        <v>0</v>
      </c>
      <c r="N27" s="67">
        <f aca="true" t="shared" si="6" ref="N27:N40">M27/H27</f>
        <v>0</v>
      </c>
    </row>
    <row r="28" spans="1:14" ht="9" customHeight="1">
      <c r="A28" s="52"/>
      <c r="B28" s="18" t="s">
        <v>106</v>
      </c>
      <c r="C28" s="18"/>
      <c r="D28" s="86">
        <f>SUM(D19:D27)</f>
        <v>0</v>
      </c>
      <c r="E28" s="86">
        <f>SUM(E19:E27)</f>
        <v>32577162</v>
      </c>
      <c r="F28" s="86">
        <f>SUM(F19:F27)</f>
        <v>0</v>
      </c>
      <c r="G28" s="86">
        <f>SUM(G19:G27)</f>
        <v>0</v>
      </c>
      <c r="H28" s="3">
        <f t="shared" si="0"/>
        <v>32577162</v>
      </c>
      <c r="I28" s="86">
        <f>SUM(I19:I27)</f>
        <v>0</v>
      </c>
      <c r="J28" s="86">
        <f>SUM(J19:J27)</f>
        <v>4619103.25</v>
      </c>
      <c r="K28" s="86">
        <f>SUM(K19:K27)</f>
        <v>0</v>
      </c>
      <c r="L28" s="86">
        <f>SUM(L19:L27)</f>
        <v>0</v>
      </c>
      <c r="M28" s="3">
        <f t="shared" si="1"/>
        <v>4619103.25</v>
      </c>
      <c r="N28" s="68">
        <f t="shared" si="6"/>
        <v>0.1417896147614086</v>
      </c>
    </row>
    <row r="29" spans="1:14" ht="20.25" customHeight="1">
      <c r="A29" s="52"/>
      <c r="B29" s="12" t="s">
        <v>60</v>
      </c>
      <c r="C29" s="10" t="s">
        <v>64</v>
      </c>
      <c r="D29" s="84">
        <v>15000</v>
      </c>
      <c r="E29" s="84"/>
      <c r="F29" s="84"/>
      <c r="G29" s="84"/>
      <c r="H29" s="4">
        <f t="shared" si="0"/>
        <v>15000</v>
      </c>
      <c r="I29" s="84">
        <v>2648.59</v>
      </c>
      <c r="J29" s="84"/>
      <c r="K29" s="84"/>
      <c r="L29" s="84"/>
      <c r="M29" s="4">
        <f t="shared" si="1"/>
        <v>2648.59</v>
      </c>
      <c r="N29" s="67">
        <f t="shared" si="6"/>
        <v>0.17657266666666668</v>
      </c>
    </row>
    <row r="30" spans="1:14" ht="10.5" customHeight="1">
      <c r="A30" s="52"/>
      <c r="B30" s="18" t="s">
        <v>107</v>
      </c>
      <c r="C30" s="18"/>
      <c r="D30" s="86">
        <f>SUM(D29:D29)</f>
        <v>15000</v>
      </c>
      <c r="E30" s="86">
        <f>SUM(E29:E29)</f>
        <v>0</v>
      </c>
      <c r="F30" s="86">
        <f>SUM(F29:F29)</f>
        <v>0</v>
      </c>
      <c r="G30" s="86">
        <f>SUM(G29:G29)</f>
        <v>0</v>
      </c>
      <c r="H30" s="3">
        <f t="shared" si="0"/>
        <v>15000</v>
      </c>
      <c r="I30" s="86">
        <f>SUM(I29:I29)</f>
        <v>2648.59</v>
      </c>
      <c r="J30" s="86">
        <f>SUM(J29:J29)</f>
        <v>0</v>
      </c>
      <c r="K30" s="86">
        <f>SUM(K29:K29)</f>
        <v>0</v>
      </c>
      <c r="L30" s="86">
        <f>SUM(L29:L29)</f>
        <v>0</v>
      </c>
      <c r="M30" s="3">
        <f t="shared" si="1"/>
        <v>2648.59</v>
      </c>
      <c r="N30" s="68">
        <f t="shared" si="6"/>
        <v>0.17657266666666668</v>
      </c>
    </row>
    <row r="31" spans="1:14" ht="9.75" customHeight="1">
      <c r="A31" s="16" t="s">
        <v>59</v>
      </c>
      <c r="B31" s="14"/>
      <c r="C31" s="14"/>
      <c r="D31" s="87">
        <f>SUM(D30,D28,D18)</f>
        <v>76614890</v>
      </c>
      <c r="E31" s="87">
        <f>SUM(E30,E28,E18)</f>
        <v>32577162</v>
      </c>
      <c r="F31" s="87">
        <f aca="true" t="shared" si="7" ref="F31:M31">SUM(F30,F28,F18)</f>
        <v>0</v>
      </c>
      <c r="G31" s="87">
        <f t="shared" si="7"/>
        <v>0</v>
      </c>
      <c r="H31" s="87">
        <f t="shared" si="7"/>
        <v>109192052</v>
      </c>
      <c r="I31" s="87">
        <f t="shared" si="7"/>
        <v>33653067.52</v>
      </c>
      <c r="J31" s="87">
        <f t="shared" si="7"/>
        <v>4619103.25</v>
      </c>
      <c r="K31" s="87">
        <f t="shared" si="7"/>
        <v>0</v>
      </c>
      <c r="L31" s="87">
        <f t="shared" si="7"/>
        <v>0</v>
      </c>
      <c r="M31" s="87">
        <f t="shared" si="7"/>
        <v>38272170.769999996</v>
      </c>
      <c r="N31" s="69">
        <f t="shared" si="6"/>
        <v>0.35050326529260567</v>
      </c>
    </row>
    <row r="32" spans="1:14" ht="39">
      <c r="A32" s="45" t="s">
        <v>221</v>
      </c>
      <c r="B32" s="12" t="s">
        <v>223</v>
      </c>
      <c r="C32" s="9" t="s">
        <v>247</v>
      </c>
      <c r="D32" s="84">
        <v>309657</v>
      </c>
      <c r="E32" s="84"/>
      <c r="F32" s="84"/>
      <c r="G32" s="84"/>
      <c r="H32" s="4">
        <f t="shared" si="0"/>
        <v>309657</v>
      </c>
      <c r="I32" s="84">
        <v>309657.42</v>
      </c>
      <c r="J32" s="84"/>
      <c r="K32" s="84"/>
      <c r="L32" s="84"/>
      <c r="M32" s="4">
        <f t="shared" si="1"/>
        <v>309657.42</v>
      </c>
      <c r="N32" s="67">
        <f t="shared" si="6"/>
        <v>1.0000013563394337</v>
      </c>
    </row>
    <row r="33" spans="1:14" s="5" customFormat="1" ht="9.75">
      <c r="A33" s="52"/>
      <c r="B33" s="22" t="s">
        <v>220</v>
      </c>
      <c r="C33" s="18"/>
      <c r="D33" s="86">
        <f>SUM(D32:D32)</f>
        <v>309657</v>
      </c>
      <c r="E33" s="86">
        <f>SUM(E32:E32)</f>
        <v>0</v>
      </c>
      <c r="F33" s="86">
        <f>SUM(F32:F32)</f>
        <v>0</v>
      </c>
      <c r="G33" s="86">
        <f>SUM(G32:G32)</f>
        <v>0</v>
      </c>
      <c r="H33" s="3">
        <f t="shared" si="0"/>
        <v>309657</v>
      </c>
      <c r="I33" s="86">
        <f>SUM(I32:I32)</f>
        <v>309657.42</v>
      </c>
      <c r="J33" s="86">
        <f>SUM(J32:J32)</f>
        <v>0</v>
      </c>
      <c r="K33" s="86">
        <f>SUM(K32:K32)</f>
        <v>0</v>
      </c>
      <c r="L33" s="86">
        <f>SUM(L32:L32)</f>
        <v>0</v>
      </c>
      <c r="M33" s="3">
        <f t="shared" si="1"/>
        <v>309657.42</v>
      </c>
      <c r="N33" s="68">
        <f t="shared" si="6"/>
        <v>1.0000013563394337</v>
      </c>
    </row>
    <row r="34" spans="1:14" s="5" customFormat="1" ht="10.5" customHeight="1">
      <c r="A34" s="147" t="s">
        <v>222</v>
      </c>
      <c r="B34" s="148"/>
      <c r="C34" s="39"/>
      <c r="D34" s="87">
        <f>SUM(D33)</f>
        <v>309657</v>
      </c>
      <c r="E34" s="87">
        <f>SUM(E33)</f>
        <v>0</v>
      </c>
      <c r="F34" s="87">
        <f>SUM(F33)</f>
        <v>0</v>
      </c>
      <c r="G34" s="87">
        <f>SUM(G33)</f>
        <v>0</v>
      </c>
      <c r="H34" s="15">
        <f t="shared" si="0"/>
        <v>309657</v>
      </c>
      <c r="I34" s="87">
        <f>SUM(I33)</f>
        <v>309657.42</v>
      </c>
      <c r="J34" s="87">
        <f>SUM(J33)</f>
        <v>0</v>
      </c>
      <c r="K34" s="87">
        <f>SUM(K33)</f>
        <v>0</v>
      </c>
      <c r="L34" s="87">
        <f>SUM(L33)</f>
        <v>0</v>
      </c>
      <c r="M34" s="15">
        <f t="shared" si="1"/>
        <v>309657.42</v>
      </c>
      <c r="N34" s="69">
        <f t="shared" si="6"/>
        <v>1.0000013563394337</v>
      </c>
    </row>
    <row r="35" spans="1:14" s="5" customFormat="1" ht="49.5" customHeight="1">
      <c r="A35" s="134" t="s">
        <v>8</v>
      </c>
      <c r="B35" s="109" t="s">
        <v>236</v>
      </c>
      <c r="C35" s="10" t="s">
        <v>94</v>
      </c>
      <c r="D35" s="84">
        <f>5135929+5812649-279227</f>
        <v>10669351</v>
      </c>
      <c r="E35" s="88"/>
      <c r="F35" s="88"/>
      <c r="G35" s="88"/>
      <c r="H35" s="4">
        <f t="shared" si="0"/>
        <v>10669351</v>
      </c>
      <c r="I35" s="84">
        <v>4558835.25</v>
      </c>
      <c r="J35" s="88"/>
      <c r="K35" s="88"/>
      <c r="L35" s="88"/>
      <c r="M35" s="4">
        <f t="shared" si="1"/>
        <v>4558835.25</v>
      </c>
      <c r="N35" s="67">
        <f t="shared" si="6"/>
        <v>0.4272832761805287</v>
      </c>
    </row>
    <row r="36" spans="1:14" s="5" customFormat="1" ht="10.5" customHeight="1">
      <c r="A36" s="135"/>
      <c r="B36" s="146" t="s">
        <v>237</v>
      </c>
      <c r="C36" s="126"/>
      <c r="D36" s="95">
        <f>SUM(D35:D35)</f>
        <v>10669351</v>
      </c>
      <c r="E36" s="95">
        <f>SUM(E35:E35)</f>
        <v>0</v>
      </c>
      <c r="F36" s="95">
        <f>SUM(F35:F35)</f>
        <v>0</v>
      </c>
      <c r="G36" s="95">
        <f>SUM(G35:G35)</f>
        <v>0</v>
      </c>
      <c r="H36" s="51">
        <f t="shared" si="0"/>
        <v>10669351</v>
      </c>
      <c r="I36" s="95">
        <f>SUM(I35:I35)</f>
        <v>4558835.25</v>
      </c>
      <c r="J36" s="95">
        <f>SUM(J35:J35)</f>
        <v>0</v>
      </c>
      <c r="K36" s="95">
        <f>SUM(K35:K35)</f>
        <v>0</v>
      </c>
      <c r="L36" s="95">
        <f>SUM(L35:L35)</f>
        <v>0</v>
      </c>
      <c r="M36" s="51">
        <f t="shared" si="1"/>
        <v>4558835.25</v>
      </c>
      <c r="N36" s="68">
        <f t="shared" si="6"/>
        <v>0.4272832761805287</v>
      </c>
    </row>
    <row r="37" spans="1:14" ht="18" customHeight="1">
      <c r="A37" s="135"/>
      <c r="B37" s="144" t="s">
        <v>9</v>
      </c>
      <c r="C37" s="46" t="s">
        <v>71</v>
      </c>
      <c r="D37" s="76">
        <v>5500000</v>
      </c>
      <c r="E37" s="76"/>
      <c r="F37" s="76"/>
      <c r="G37" s="76"/>
      <c r="H37" s="4">
        <f t="shared" si="0"/>
        <v>5500000</v>
      </c>
      <c r="I37" s="76">
        <v>4376962.66</v>
      </c>
      <c r="J37" s="76"/>
      <c r="K37" s="84"/>
      <c r="L37" s="84"/>
      <c r="M37" s="4">
        <f t="shared" si="1"/>
        <v>4376962.66</v>
      </c>
      <c r="N37" s="67">
        <f t="shared" si="6"/>
        <v>0.7958113927272727</v>
      </c>
    </row>
    <row r="38" spans="1:14" ht="48.75" customHeight="1">
      <c r="A38" s="52"/>
      <c r="B38" s="127"/>
      <c r="C38" s="47" t="s">
        <v>94</v>
      </c>
      <c r="D38" s="76">
        <v>8700000</v>
      </c>
      <c r="E38" s="76"/>
      <c r="F38" s="76"/>
      <c r="G38" s="76"/>
      <c r="H38" s="4">
        <f t="shared" si="0"/>
        <v>8700000</v>
      </c>
      <c r="I38" s="76">
        <v>5499814.24</v>
      </c>
      <c r="J38" s="76"/>
      <c r="K38" s="84"/>
      <c r="L38" s="84"/>
      <c r="M38" s="4">
        <f t="shared" si="1"/>
        <v>5499814.24</v>
      </c>
      <c r="N38" s="67">
        <f t="shared" si="6"/>
        <v>0.6321625563218392</v>
      </c>
    </row>
    <row r="39" spans="1:14" ht="30" customHeight="1">
      <c r="A39" s="52"/>
      <c r="B39" s="11"/>
      <c r="C39" s="47" t="s">
        <v>68</v>
      </c>
      <c r="D39" s="76">
        <v>2600000</v>
      </c>
      <c r="E39" s="76"/>
      <c r="F39" s="76"/>
      <c r="G39" s="76"/>
      <c r="H39" s="4">
        <f t="shared" si="0"/>
        <v>2600000</v>
      </c>
      <c r="I39" s="76">
        <v>3637571.71</v>
      </c>
      <c r="J39" s="76"/>
      <c r="K39" s="84"/>
      <c r="L39" s="84"/>
      <c r="M39" s="4">
        <f t="shared" si="1"/>
        <v>3637571.71</v>
      </c>
      <c r="N39" s="67">
        <f t="shared" si="6"/>
        <v>1.3990660423076924</v>
      </c>
    </row>
    <row r="40" spans="1:14" ht="21" customHeight="1">
      <c r="A40" s="52"/>
      <c r="B40" s="11"/>
      <c r="C40" s="47" t="s">
        <v>204</v>
      </c>
      <c r="D40" s="76">
        <v>30000000</v>
      </c>
      <c r="E40" s="76"/>
      <c r="F40" s="76"/>
      <c r="G40" s="76"/>
      <c r="H40" s="4">
        <f t="shared" si="0"/>
        <v>30000000</v>
      </c>
      <c r="I40" s="76">
        <v>5965092.46</v>
      </c>
      <c r="J40" s="76"/>
      <c r="K40" s="84"/>
      <c r="L40" s="84"/>
      <c r="M40" s="4">
        <f t="shared" si="1"/>
        <v>5965092.46</v>
      </c>
      <c r="N40" s="67">
        <f t="shared" si="6"/>
        <v>0.19883641533333332</v>
      </c>
    </row>
    <row r="41" spans="1:14" ht="9.75">
      <c r="A41" s="52"/>
      <c r="B41" s="11"/>
      <c r="C41" s="47" t="s">
        <v>69</v>
      </c>
      <c r="D41" s="76"/>
      <c r="E41" s="76"/>
      <c r="F41" s="76"/>
      <c r="G41" s="76"/>
      <c r="H41" s="4">
        <f t="shared" si="0"/>
        <v>0</v>
      </c>
      <c r="I41" s="76">
        <v>47714.93</v>
      </c>
      <c r="J41" s="76"/>
      <c r="K41" s="84"/>
      <c r="L41" s="84"/>
      <c r="M41" s="4">
        <f t="shared" si="1"/>
        <v>47714.93</v>
      </c>
      <c r="N41" s="67"/>
    </row>
    <row r="42" spans="1:14" ht="9.75">
      <c r="A42" s="52"/>
      <c r="B42" s="11"/>
      <c r="C42" s="47" t="s">
        <v>65</v>
      </c>
      <c r="D42" s="76"/>
      <c r="E42" s="76"/>
      <c r="F42" s="76"/>
      <c r="G42" s="76"/>
      <c r="H42" s="4">
        <f t="shared" si="0"/>
        <v>0</v>
      </c>
      <c r="I42" s="76">
        <v>55189.18</v>
      </c>
      <c r="J42" s="76"/>
      <c r="K42" s="84"/>
      <c r="L42" s="84"/>
      <c r="M42" s="4">
        <f t="shared" si="1"/>
        <v>55189.18</v>
      </c>
      <c r="N42" s="67"/>
    </row>
    <row r="43" spans="1:14" ht="9.75">
      <c r="A43" s="52"/>
      <c r="B43" s="11"/>
      <c r="C43" s="47" t="s">
        <v>67</v>
      </c>
      <c r="D43" s="76"/>
      <c r="E43" s="76"/>
      <c r="F43" s="76"/>
      <c r="G43" s="76"/>
      <c r="H43" s="4">
        <f t="shared" si="0"/>
        <v>0</v>
      </c>
      <c r="I43" s="76">
        <v>0.02</v>
      </c>
      <c r="J43" s="76"/>
      <c r="K43" s="84"/>
      <c r="L43" s="84"/>
      <c r="M43" s="4">
        <f t="shared" si="1"/>
        <v>0.02</v>
      </c>
      <c r="N43" s="67"/>
    </row>
    <row r="44" spans="1:14" ht="39.75" customHeight="1">
      <c r="A44" s="52"/>
      <c r="B44" s="11"/>
      <c r="C44" s="47" t="s">
        <v>63</v>
      </c>
      <c r="D44" s="76"/>
      <c r="E44" s="76"/>
      <c r="F44" s="76"/>
      <c r="G44" s="76">
        <v>132000</v>
      </c>
      <c r="H44" s="4">
        <f t="shared" si="0"/>
        <v>132000</v>
      </c>
      <c r="I44" s="76"/>
      <c r="J44" s="76"/>
      <c r="K44" s="84"/>
      <c r="L44" s="84">
        <v>42416</v>
      </c>
      <c r="M44" s="4">
        <f t="shared" si="1"/>
        <v>42416</v>
      </c>
      <c r="N44" s="67">
        <f>M44/H44</f>
        <v>0.32133333333333336</v>
      </c>
    </row>
    <row r="45" spans="1:14" ht="29.25" customHeight="1">
      <c r="A45" s="52"/>
      <c r="B45" s="11"/>
      <c r="C45" s="48" t="s">
        <v>70</v>
      </c>
      <c r="D45" s="76"/>
      <c r="E45" s="76">
        <v>1875000</v>
      </c>
      <c r="F45" s="76"/>
      <c r="G45" s="76"/>
      <c r="H45" s="4">
        <f t="shared" si="0"/>
        <v>1875000</v>
      </c>
      <c r="I45" s="76"/>
      <c r="J45" s="76">
        <v>1899710.37</v>
      </c>
      <c r="K45" s="84"/>
      <c r="L45" s="84"/>
      <c r="M45" s="4">
        <f t="shared" si="1"/>
        <v>1899710.37</v>
      </c>
      <c r="N45" s="67">
        <f>M45/H45</f>
        <v>1.0131788640000001</v>
      </c>
    </row>
    <row r="46" spans="1:14" ht="9.75">
      <c r="A46" s="52"/>
      <c r="B46" s="18" t="s">
        <v>108</v>
      </c>
      <c r="C46" s="18"/>
      <c r="D46" s="86">
        <f>SUM(D37:D45)</f>
        <v>46800000</v>
      </c>
      <c r="E46" s="86">
        <f>SUM(E37:E45)</f>
        <v>1875000</v>
      </c>
      <c r="F46" s="86">
        <f>SUM(F37:F45)</f>
        <v>0</v>
      </c>
      <c r="G46" s="86">
        <f>SUM(G37:G45)</f>
        <v>132000</v>
      </c>
      <c r="H46" s="3">
        <f t="shared" si="0"/>
        <v>48807000</v>
      </c>
      <c r="I46" s="86">
        <f>SUM(I37:I45)</f>
        <v>19582345.2</v>
      </c>
      <c r="J46" s="86">
        <f>SUM(J37:J45)</f>
        <v>1899710.37</v>
      </c>
      <c r="K46" s="86">
        <f>SUM(K37:K45)</f>
        <v>0</v>
      </c>
      <c r="L46" s="86">
        <f>SUM(L37:L45)</f>
        <v>42416</v>
      </c>
      <c r="M46" s="3">
        <f t="shared" si="1"/>
        <v>21524471.57</v>
      </c>
      <c r="N46" s="68">
        <f>M46/H46</f>
        <v>0.4410119771754052</v>
      </c>
    </row>
    <row r="47" spans="1:14" s="5" customFormat="1" ht="47.25" customHeight="1">
      <c r="A47" s="52"/>
      <c r="B47" s="128" t="s">
        <v>10</v>
      </c>
      <c r="C47" s="47" t="s">
        <v>94</v>
      </c>
      <c r="D47" s="76">
        <v>4100000</v>
      </c>
      <c r="E47" s="76"/>
      <c r="F47" s="76"/>
      <c r="G47" s="76"/>
      <c r="H47" s="4">
        <f aca="true" t="shared" si="8" ref="H47:H81">SUM(D47:G47)</f>
        <v>4100000</v>
      </c>
      <c r="I47" s="76">
        <v>1448262.84</v>
      </c>
      <c r="J47" s="84"/>
      <c r="K47" s="84"/>
      <c r="L47" s="84"/>
      <c r="M47" s="4">
        <f aca="true" t="shared" si="9" ref="M47:M81">SUM(I47:L47)</f>
        <v>1448262.84</v>
      </c>
      <c r="N47" s="67">
        <f>M47/H47</f>
        <v>0.3532348390243903</v>
      </c>
    </row>
    <row r="48" spans="1:14" s="5" customFormat="1" ht="9" customHeight="1">
      <c r="A48" s="52"/>
      <c r="B48" s="129"/>
      <c r="C48" s="10" t="s">
        <v>65</v>
      </c>
      <c r="D48" s="84"/>
      <c r="E48" s="84"/>
      <c r="F48" s="84"/>
      <c r="G48" s="84"/>
      <c r="H48" s="4">
        <f t="shared" si="8"/>
        <v>0</v>
      </c>
      <c r="I48" s="84">
        <v>12456.14</v>
      </c>
      <c r="J48" s="84"/>
      <c r="K48" s="84"/>
      <c r="L48" s="84"/>
      <c r="M48" s="4">
        <f t="shared" si="9"/>
        <v>12456.14</v>
      </c>
      <c r="N48" s="67"/>
    </row>
    <row r="49" spans="1:14" s="6" customFormat="1" ht="9.75">
      <c r="A49" s="52"/>
      <c r="B49" s="18" t="s">
        <v>109</v>
      </c>
      <c r="C49" s="18"/>
      <c r="D49" s="86">
        <f>SUM(D47:D48)</f>
        <v>4100000</v>
      </c>
      <c r="E49" s="86">
        <f>SUM(E47:E48)</f>
        <v>0</v>
      </c>
      <c r="F49" s="86">
        <f>SUM(F47:F48)</f>
        <v>0</v>
      </c>
      <c r="G49" s="86">
        <f>SUM(G47:G48)</f>
        <v>0</v>
      </c>
      <c r="H49" s="3">
        <f t="shared" si="8"/>
        <v>4100000</v>
      </c>
      <c r="I49" s="86">
        <f>SUM(I47:I48)</f>
        <v>1460718.98</v>
      </c>
      <c r="J49" s="86">
        <f>SUM(J47:J48)</f>
        <v>0</v>
      </c>
      <c r="K49" s="86">
        <f>SUM(K47:K48)</f>
        <v>0</v>
      </c>
      <c r="L49" s="86">
        <f>SUM(L47:L48)</f>
        <v>0</v>
      </c>
      <c r="M49" s="3">
        <f t="shared" si="9"/>
        <v>1460718.98</v>
      </c>
      <c r="N49" s="68">
        <f>M49/H49</f>
        <v>0.3562729219512195</v>
      </c>
    </row>
    <row r="50" spans="1:14" ht="9" customHeight="1">
      <c r="A50" s="16" t="s">
        <v>11</v>
      </c>
      <c r="B50" s="14"/>
      <c r="C50" s="14"/>
      <c r="D50" s="96">
        <f>SUM(D49,D36,D46)</f>
        <v>61569351</v>
      </c>
      <c r="E50" s="96">
        <f>SUM(E49,E36,E46)</f>
        <v>1875000</v>
      </c>
      <c r="F50" s="96">
        <f>SUM(F49,F36,F46)</f>
        <v>0</v>
      </c>
      <c r="G50" s="96">
        <f>SUM(G49,G36,G46)</f>
        <v>132000</v>
      </c>
      <c r="H50" s="15">
        <f t="shared" si="8"/>
        <v>63576351</v>
      </c>
      <c r="I50" s="96">
        <f>SUM(I49,I36,I46)</f>
        <v>25601899.43</v>
      </c>
      <c r="J50" s="96">
        <f>SUM(J49,J36,J46)</f>
        <v>1899710.37</v>
      </c>
      <c r="K50" s="96">
        <f>SUM(K49,K36,K46)</f>
        <v>0</v>
      </c>
      <c r="L50" s="96">
        <f>SUM(L49,L36,L46)</f>
        <v>42416</v>
      </c>
      <c r="M50" s="15">
        <f t="shared" si="9"/>
        <v>27544025.8</v>
      </c>
      <c r="N50" s="69">
        <f>M50/H50</f>
        <v>0.4332432636783448</v>
      </c>
    </row>
    <row r="51" spans="1:14" s="5" customFormat="1" ht="27" customHeight="1">
      <c r="A51" s="134" t="s">
        <v>12</v>
      </c>
      <c r="B51" s="12" t="s">
        <v>261</v>
      </c>
      <c r="C51" s="10" t="s">
        <v>67</v>
      </c>
      <c r="D51" s="76"/>
      <c r="E51" s="85"/>
      <c r="F51" s="85"/>
      <c r="G51" s="85"/>
      <c r="H51" s="4">
        <f t="shared" si="8"/>
        <v>0</v>
      </c>
      <c r="I51" s="76">
        <v>148</v>
      </c>
      <c r="J51" s="85"/>
      <c r="K51" s="85"/>
      <c r="L51" s="85"/>
      <c r="M51" s="4">
        <f t="shared" si="9"/>
        <v>148</v>
      </c>
      <c r="N51" s="67"/>
    </row>
    <row r="52" spans="1:14" ht="9.75">
      <c r="A52" s="135"/>
      <c r="B52" s="18" t="s">
        <v>260</v>
      </c>
      <c r="C52" s="18"/>
      <c r="D52" s="86">
        <f>SUM(D51:D51)</f>
        <v>0</v>
      </c>
      <c r="E52" s="86">
        <f>SUM(E51:E51)</f>
        <v>0</v>
      </c>
      <c r="F52" s="86">
        <f>SUM(F51:F51)</f>
        <v>0</v>
      </c>
      <c r="G52" s="86">
        <f>SUM(G51:G51)</f>
        <v>0</v>
      </c>
      <c r="H52" s="3">
        <f t="shared" si="8"/>
        <v>0</v>
      </c>
      <c r="I52" s="86">
        <f>SUM(I51:I51)</f>
        <v>148</v>
      </c>
      <c r="J52" s="86">
        <f>SUM(J51:J51)</f>
        <v>0</v>
      </c>
      <c r="K52" s="86">
        <f>SUM(K51:K51)</f>
        <v>0</v>
      </c>
      <c r="L52" s="86">
        <f>SUM(L51:L51)</f>
        <v>0</v>
      </c>
      <c r="M52" s="3">
        <f t="shared" si="9"/>
        <v>148</v>
      </c>
      <c r="N52" s="68"/>
    </row>
    <row r="53" spans="1:14" ht="39.75" customHeight="1">
      <c r="A53" s="135"/>
      <c r="B53" s="13" t="s">
        <v>13</v>
      </c>
      <c r="C53" s="17" t="s">
        <v>63</v>
      </c>
      <c r="D53" s="84"/>
      <c r="E53" s="84"/>
      <c r="F53" s="84"/>
      <c r="G53" s="84">
        <v>100000</v>
      </c>
      <c r="H53" s="4">
        <f t="shared" si="8"/>
        <v>100000</v>
      </c>
      <c r="I53" s="84"/>
      <c r="J53" s="84"/>
      <c r="K53" s="84"/>
      <c r="L53" s="84"/>
      <c r="M53" s="4">
        <f t="shared" si="9"/>
        <v>0</v>
      </c>
      <c r="N53" s="67">
        <f>M53/H53</f>
        <v>0</v>
      </c>
    </row>
    <row r="54" spans="1:14" s="6" customFormat="1" ht="9" customHeight="1">
      <c r="A54" s="45"/>
      <c r="B54" s="18" t="s">
        <v>110</v>
      </c>
      <c r="C54" s="18"/>
      <c r="D54" s="86">
        <f>SUM(D53)</f>
        <v>0</v>
      </c>
      <c r="E54" s="86">
        <f>SUM(E53)</f>
        <v>0</v>
      </c>
      <c r="F54" s="86">
        <f>SUM(F53)</f>
        <v>0</v>
      </c>
      <c r="G54" s="86">
        <f>SUM(G53)</f>
        <v>100000</v>
      </c>
      <c r="H54" s="3">
        <f t="shared" si="8"/>
        <v>100000</v>
      </c>
      <c r="I54" s="86">
        <f>SUM(I53)</f>
        <v>0</v>
      </c>
      <c r="J54" s="86">
        <f>SUM(J53)</f>
        <v>0</v>
      </c>
      <c r="K54" s="86">
        <f>SUM(K53)</f>
        <v>0</v>
      </c>
      <c r="L54" s="86">
        <f>SUM(L53)</f>
        <v>0</v>
      </c>
      <c r="M54" s="3">
        <f t="shared" si="9"/>
        <v>0</v>
      </c>
      <c r="N54" s="68">
        <f>M54/H54</f>
        <v>0</v>
      </c>
    </row>
    <row r="55" spans="1:14" ht="38.25" customHeight="1">
      <c r="A55" s="45"/>
      <c r="B55" s="13" t="s">
        <v>14</v>
      </c>
      <c r="C55" s="17" t="s">
        <v>63</v>
      </c>
      <c r="D55" s="84"/>
      <c r="E55" s="84"/>
      <c r="F55" s="84"/>
      <c r="G55" s="84">
        <v>69000</v>
      </c>
      <c r="H55" s="4">
        <f t="shared" si="8"/>
        <v>69000</v>
      </c>
      <c r="I55" s="84"/>
      <c r="J55" s="84"/>
      <c r="K55" s="84"/>
      <c r="L55" s="84"/>
      <c r="M55" s="4">
        <f t="shared" si="9"/>
        <v>0</v>
      </c>
      <c r="N55" s="67">
        <f>M55/H55</f>
        <v>0</v>
      </c>
    </row>
    <row r="56" spans="1:14" ht="9.75">
      <c r="A56" s="45"/>
      <c r="B56" s="18" t="s">
        <v>111</v>
      </c>
      <c r="C56" s="18"/>
      <c r="D56" s="86">
        <f>SUM(D55)</f>
        <v>0</v>
      </c>
      <c r="E56" s="86">
        <f>SUM(E55)</f>
        <v>0</v>
      </c>
      <c r="F56" s="86">
        <f>SUM(F55)</f>
        <v>0</v>
      </c>
      <c r="G56" s="86">
        <f>SUM(G55)</f>
        <v>69000</v>
      </c>
      <c r="H56" s="3">
        <f t="shared" si="8"/>
        <v>69000</v>
      </c>
      <c r="I56" s="86">
        <f>SUM(I55)</f>
        <v>0</v>
      </c>
      <c r="J56" s="86">
        <f>SUM(J55)</f>
        <v>0</v>
      </c>
      <c r="K56" s="86">
        <f>SUM(K55)</f>
        <v>0</v>
      </c>
      <c r="L56" s="86">
        <f>SUM(L55)</f>
        <v>0</v>
      </c>
      <c r="M56" s="3">
        <f t="shared" si="9"/>
        <v>0</v>
      </c>
      <c r="N56" s="68">
        <f>M56/H56</f>
        <v>0</v>
      </c>
    </row>
    <row r="57" spans="1:14" ht="40.5" customHeight="1">
      <c r="A57" s="45"/>
      <c r="B57" s="12" t="s">
        <v>15</v>
      </c>
      <c r="C57" s="10" t="s">
        <v>63</v>
      </c>
      <c r="D57" s="84"/>
      <c r="E57" s="84"/>
      <c r="F57" s="84"/>
      <c r="G57" s="84">
        <v>773000</v>
      </c>
      <c r="H57" s="4">
        <f t="shared" si="8"/>
        <v>773000</v>
      </c>
      <c r="I57" s="84"/>
      <c r="J57" s="84"/>
      <c r="K57" s="84"/>
      <c r="L57" s="84">
        <v>389000</v>
      </c>
      <c r="M57" s="4">
        <f t="shared" si="9"/>
        <v>389000</v>
      </c>
      <c r="N57" s="67">
        <f>M57/H57</f>
        <v>0.5032341526520052</v>
      </c>
    </row>
    <row r="58" spans="1:14" ht="29.25" customHeight="1">
      <c r="A58" s="45"/>
      <c r="B58" s="17"/>
      <c r="C58" s="12" t="s">
        <v>70</v>
      </c>
      <c r="D58" s="84"/>
      <c r="E58" s="84"/>
      <c r="F58" s="84"/>
      <c r="G58" s="84"/>
      <c r="H58" s="4">
        <f t="shared" si="8"/>
        <v>0</v>
      </c>
      <c r="I58" s="84"/>
      <c r="J58" s="84">
        <v>27.63</v>
      </c>
      <c r="K58" s="84"/>
      <c r="L58" s="84"/>
      <c r="M58" s="4">
        <f t="shared" si="9"/>
        <v>27.63</v>
      </c>
      <c r="N58" s="67"/>
    </row>
    <row r="59" spans="1:14" ht="9.75" customHeight="1">
      <c r="A59" s="45"/>
      <c r="B59" s="18" t="s">
        <v>112</v>
      </c>
      <c r="C59" s="18"/>
      <c r="D59" s="86">
        <f>SUM(D57:D58)</f>
        <v>0</v>
      </c>
      <c r="E59" s="86">
        <f>SUM(E57:E58)</f>
        <v>0</v>
      </c>
      <c r="F59" s="86">
        <f>SUM(F57:F58)</f>
        <v>0</v>
      </c>
      <c r="G59" s="86">
        <f>SUM(G57:G58)</f>
        <v>773000</v>
      </c>
      <c r="H59" s="3">
        <f t="shared" si="8"/>
        <v>773000</v>
      </c>
      <c r="I59" s="86">
        <f>SUM(I57:I58)</f>
        <v>0</v>
      </c>
      <c r="J59" s="86">
        <f>SUM(J57:J58)</f>
        <v>27.63</v>
      </c>
      <c r="K59" s="86">
        <f>SUM(K57:K58)</f>
        <v>0</v>
      </c>
      <c r="L59" s="86">
        <f>SUM(L57:L58)</f>
        <v>389000</v>
      </c>
      <c r="M59" s="3">
        <f t="shared" si="9"/>
        <v>389027.63</v>
      </c>
      <c r="N59" s="68">
        <f>M59/H59</f>
        <v>0.5032698965071152</v>
      </c>
    </row>
    <row r="60" spans="1:14" s="5" customFormat="1" ht="10.5" customHeight="1">
      <c r="A60" s="45"/>
      <c r="B60" s="128" t="s">
        <v>56</v>
      </c>
      <c r="C60" s="10" t="s">
        <v>65</v>
      </c>
      <c r="D60" s="76"/>
      <c r="E60" s="85"/>
      <c r="F60" s="85"/>
      <c r="G60" s="85"/>
      <c r="H60" s="4">
        <f t="shared" si="8"/>
        <v>0</v>
      </c>
      <c r="I60" s="76">
        <v>136.26</v>
      </c>
      <c r="J60" s="85"/>
      <c r="K60" s="85"/>
      <c r="L60" s="85"/>
      <c r="M60" s="4">
        <f t="shared" si="9"/>
        <v>136.26</v>
      </c>
      <c r="N60" s="67"/>
    </row>
    <row r="61" spans="1:14" s="5" customFormat="1" ht="39" customHeight="1">
      <c r="A61" s="45"/>
      <c r="B61" s="129"/>
      <c r="C61" s="47" t="s">
        <v>72</v>
      </c>
      <c r="D61" s="76">
        <v>35500</v>
      </c>
      <c r="E61" s="76"/>
      <c r="F61" s="76"/>
      <c r="G61" s="76"/>
      <c r="H61" s="4">
        <f t="shared" si="8"/>
        <v>35500</v>
      </c>
      <c r="I61" s="76">
        <v>35500</v>
      </c>
      <c r="J61" s="76"/>
      <c r="K61" s="76"/>
      <c r="L61" s="76"/>
      <c r="M61" s="4">
        <f t="shared" si="9"/>
        <v>35500</v>
      </c>
      <c r="N61" s="67">
        <f>M61/H61</f>
        <v>1</v>
      </c>
    </row>
    <row r="62" spans="1:14" ht="9.75">
      <c r="A62" s="45"/>
      <c r="B62" s="18" t="s">
        <v>113</v>
      </c>
      <c r="C62" s="18"/>
      <c r="D62" s="86">
        <f>SUM(D60:D61)</f>
        <v>35500</v>
      </c>
      <c r="E62" s="86">
        <f>SUM(E60:E61)</f>
        <v>0</v>
      </c>
      <c r="F62" s="86">
        <f>SUM(F60:F61)</f>
        <v>0</v>
      </c>
      <c r="G62" s="86">
        <f>SUM(G60:G61)</f>
        <v>0</v>
      </c>
      <c r="H62" s="3">
        <f t="shared" si="8"/>
        <v>35500</v>
      </c>
      <c r="I62" s="86">
        <f>SUM(I60:I61)</f>
        <v>35636.26</v>
      </c>
      <c r="J62" s="86">
        <f>SUM(J60:J61)</f>
        <v>0</v>
      </c>
      <c r="K62" s="86">
        <f>SUM(K60:K61)</f>
        <v>0</v>
      </c>
      <c r="L62" s="86">
        <f>SUM(L60:L61)</f>
        <v>0</v>
      </c>
      <c r="M62" s="3">
        <f t="shared" si="9"/>
        <v>35636.26</v>
      </c>
      <c r="N62" s="68">
        <f>M62/H62</f>
        <v>1.003838309859155</v>
      </c>
    </row>
    <row r="63" spans="1:14" s="5" customFormat="1" ht="21" customHeight="1">
      <c r="A63" s="45"/>
      <c r="B63" s="132" t="s">
        <v>262</v>
      </c>
      <c r="C63" s="83" t="s">
        <v>213</v>
      </c>
      <c r="D63" s="76"/>
      <c r="E63" s="85"/>
      <c r="F63" s="85"/>
      <c r="G63" s="85"/>
      <c r="H63" s="4">
        <f t="shared" si="8"/>
        <v>0</v>
      </c>
      <c r="I63" s="76">
        <v>2000</v>
      </c>
      <c r="J63" s="85"/>
      <c r="K63" s="85"/>
      <c r="L63" s="85"/>
      <c r="M63" s="4">
        <f t="shared" si="9"/>
        <v>2000</v>
      </c>
      <c r="N63" s="67"/>
    </row>
    <row r="64" spans="1:14" s="5" customFormat="1" ht="48" customHeight="1">
      <c r="A64" s="45"/>
      <c r="B64" s="133"/>
      <c r="C64" s="47" t="s">
        <v>94</v>
      </c>
      <c r="D64" s="76">
        <v>1179661</v>
      </c>
      <c r="E64" s="85"/>
      <c r="F64" s="85"/>
      <c r="G64" s="85"/>
      <c r="H64" s="4">
        <f t="shared" si="8"/>
        <v>1179661</v>
      </c>
      <c r="I64" s="76">
        <v>576235.57</v>
      </c>
      <c r="J64" s="85"/>
      <c r="K64" s="85"/>
      <c r="L64" s="85"/>
      <c r="M64" s="4">
        <f t="shared" si="9"/>
        <v>576235.57</v>
      </c>
      <c r="N64" s="67">
        <f>M64/H64</f>
        <v>0.4884755620470626</v>
      </c>
    </row>
    <row r="65" spans="1:14" s="5" customFormat="1" ht="9.75">
      <c r="A65" s="45"/>
      <c r="B65" s="133"/>
      <c r="C65" s="49" t="s">
        <v>69</v>
      </c>
      <c r="D65" s="76">
        <v>714308</v>
      </c>
      <c r="E65" s="85"/>
      <c r="F65" s="85"/>
      <c r="G65" s="85"/>
      <c r="H65" s="4">
        <f t="shared" si="8"/>
        <v>714308</v>
      </c>
      <c r="I65" s="76">
        <v>403548.59</v>
      </c>
      <c r="J65" s="85"/>
      <c r="K65" s="85"/>
      <c r="L65" s="85"/>
      <c r="M65" s="4">
        <f t="shared" si="9"/>
        <v>403548.59</v>
      </c>
      <c r="N65" s="67">
        <f>M65/H65</f>
        <v>0.5649503995475341</v>
      </c>
    </row>
    <row r="66" spans="1:14" s="5" customFormat="1" ht="29.25">
      <c r="A66" s="45"/>
      <c r="B66" s="75"/>
      <c r="C66" s="12" t="s">
        <v>233</v>
      </c>
      <c r="D66" s="76"/>
      <c r="E66" s="85"/>
      <c r="F66" s="85"/>
      <c r="G66" s="85"/>
      <c r="H66" s="4">
        <f t="shared" si="8"/>
        <v>0</v>
      </c>
      <c r="I66" s="76">
        <v>22</v>
      </c>
      <c r="J66" s="85"/>
      <c r="K66" s="85"/>
      <c r="L66" s="85"/>
      <c r="M66" s="4">
        <f t="shared" si="9"/>
        <v>22</v>
      </c>
      <c r="N66" s="67"/>
    </row>
    <row r="67" spans="1:14" s="5" customFormat="1" ht="9.75">
      <c r="A67" s="45"/>
      <c r="B67" s="75"/>
      <c r="C67" s="47" t="s">
        <v>65</v>
      </c>
      <c r="D67" s="76"/>
      <c r="E67" s="85"/>
      <c r="F67" s="85"/>
      <c r="G67" s="85"/>
      <c r="H67" s="4">
        <f t="shared" si="8"/>
        <v>0</v>
      </c>
      <c r="I67" s="76">
        <v>1506.29</v>
      </c>
      <c r="J67" s="85"/>
      <c r="K67" s="85"/>
      <c r="L67" s="85"/>
      <c r="M67" s="4">
        <f t="shared" si="9"/>
        <v>1506.29</v>
      </c>
      <c r="N67" s="67"/>
    </row>
    <row r="68" spans="1:14" s="5" customFormat="1" ht="11.25" customHeight="1">
      <c r="A68" s="45"/>
      <c r="B68" s="75"/>
      <c r="C68" s="47" t="s">
        <v>67</v>
      </c>
      <c r="D68" s="97"/>
      <c r="E68" s="76"/>
      <c r="F68" s="76"/>
      <c r="G68" s="76"/>
      <c r="H68" s="4">
        <f t="shared" si="8"/>
        <v>0</v>
      </c>
      <c r="I68" s="97">
        <v>2000</v>
      </c>
      <c r="J68" s="76"/>
      <c r="K68" s="76"/>
      <c r="L68" s="76"/>
      <c r="M68" s="4">
        <f t="shared" si="9"/>
        <v>2000</v>
      </c>
      <c r="N68" s="67"/>
    </row>
    <row r="69" spans="1:14" ht="20.25" customHeight="1">
      <c r="A69" s="45"/>
      <c r="B69" s="17"/>
      <c r="C69" s="12" t="s">
        <v>270</v>
      </c>
      <c r="D69" s="84"/>
      <c r="E69" s="84"/>
      <c r="F69" s="84"/>
      <c r="G69" s="84"/>
      <c r="H69" s="4">
        <f t="shared" si="8"/>
        <v>0</v>
      </c>
      <c r="I69" s="84">
        <v>2023782.5</v>
      </c>
      <c r="J69" s="84"/>
      <c r="K69" s="84"/>
      <c r="L69" s="84"/>
      <c r="M69" s="4">
        <f t="shared" si="9"/>
        <v>2023782.5</v>
      </c>
      <c r="N69" s="67"/>
    </row>
    <row r="70" spans="1:14" s="5" customFormat="1" ht="40.5" customHeight="1">
      <c r="A70" s="45"/>
      <c r="B70" s="75"/>
      <c r="C70" s="48" t="s">
        <v>212</v>
      </c>
      <c r="D70" s="76"/>
      <c r="E70" s="76"/>
      <c r="F70" s="76"/>
      <c r="G70" s="76"/>
      <c r="H70" s="4">
        <f t="shared" si="8"/>
        <v>0</v>
      </c>
      <c r="I70" s="76">
        <v>226854.61</v>
      </c>
      <c r="J70" s="76"/>
      <c r="K70" s="76"/>
      <c r="L70" s="76"/>
      <c r="M70" s="4">
        <f t="shared" si="9"/>
        <v>226854.61</v>
      </c>
      <c r="N70" s="67"/>
    </row>
    <row r="71" spans="1:14" ht="29.25" customHeight="1">
      <c r="A71" s="45"/>
      <c r="B71" s="17"/>
      <c r="C71" s="10" t="s">
        <v>186</v>
      </c>
      <c r="D71" s="84"/>
      <c r="E71" s="84"/>
      <c r="F71" s="84"/>
      <c r="G71" s="84"/>
      <c r="H71" s="4">
        <f t="shared" si="8"/>
        <v>0</v>
      </c>
      <c r="I71" s="84">
        <v>1105.42</v>
      </c>
      <c r="J71" s="84"/>
      <c r="K71" s="84"/>
      <c r="L71" s="84"/>
      <c r="M71" s="4">
        <f t="shared" si="9"/>
        <v>1105.42</v>
      </c>
      <c r="N71" s="67"/>
    </row>
    <row r="72" spans="1:14" ht="9.75">
      <c r="A72" s="65"/>
      <c r="B72" s="18" t="s">
        <v>114</v>
      </c>
      <c r="C72" s="18"/>
      <c r="D72" s="86">
        <f>SUM(D63:D71)</f>
        <v>1893969</v>
      </c>
      <c r="E72" s="86">
        <f>SUM(E63:E71)</f>
        <v>0</v>
      </c>
      <c r="F72" s="86">
        <f>SUM(F63:F71)</f>
        <v>0</v>
      </c>
      <c r="G72" s="86">
        <f>SUM(G63:G71)</f>
        <v>0</v>
      </c>
      <c r="H72" s="3">
        <f t="shared" si="8"/>
        <v>1893969</v>
      </c>
      <c r="I72" s="86">
        <f>SUM(I63:I71)</f>
        <v>3237054.98</v>
      </c>
      <c r="J72" s="86">
        <f>SUM(J63:J71)</f>
        <v>0</v>
      </c>
      <c r="K72" s="86">
        <f>SUM(K63:K71)</f>
        <v>0</v>
      </c>
      <c r="L72" s="86">
        <f>SUM(L63:L71)</f>
        <v>0</v>
      </c>
      <c r="M72" s="3">
        <f t="shared" si="9"/>
        <v>3237054.98</v>
      </c>
      <c r="N72" s="68">
        <f aca="true" t="shared" si="10" ref="N72:N77">M72/H72</f>
        <v>1.7091383121899038</v>
      </c>
    </row>
    <row r="73" spans="1:14" ht="9.75" customHeight="1">
      <c r="A73" s="16" t="s">
        <v>16</v>
      </c>
      <c r="B73" s="63"/>
      <c r="C73" s="14"/>
      <c r="D73" s="87">
        <f>SUM(D72,D52,D62,D59,D56,D54)</f>
        <v>1929469</v>
      </c>
      <c r="E73" s="87">
        <f aca="true" t="shared" si="11" ref="E73:M73">SUM(E72,E52,E62,E59,E56,E54)</f>
        <v>0</v>
      </c>
      <c r="F73" s="87">
        <f t="shared" si="11"/>
        <v>0</v>
      </c>
      <c r="G73" s="87">
        <f t="shared" si="11"/>
        <v>942000</v>
      </c>
      <c r="H73" s="87">
        <f t="shared" si="11"/>
        <v>2871469</v>
      </c>
      <c r="I73" s="87">
        <f t="shared" si="11"/>
        <v>3272839.2399999998</v>
      </c>
      <c r="J73" s="87">
        <f t="shared" si="11"/>
        <v>27.63</v>
      </c>
      <c r="K73" s="87">
        <f t="shared" si="11"/>
        <v>0</v>
      </c>
      <c r="L73" s="87">
        <f t="shared" si="11"/>
        <v>389000</v>
      </c>
      <c r="M73" s="87">
        <f t="shared" si="11"/>
        <v>3661866.8699999996</v>
      </c>
      <c r="N73" s="69">
        <f t="shared" si="10"/>
        <v>1.275259064262926</v>
      </c>
    </row>
    <row r="74" spans="1:14" ht="39" customHeight="1">
      <c r="A74" s="138" t="s">
        <v>17</v>
      </c>
      <c r="B74" s="131" t="s">
        <v>18</v>
      </c>
      <c r="C74" s="35" t="s">
        <v>115</v>
      </c>
      <c r="D74" s="84"/>
      <c r="E74" s="84"/>
      <c r="F74" s="84">
        <v>1361000</v>
      </c>
      <c r="G74" s="84"/>
      <c r="H74" s="4">
        <f t="shared" si="8"/>
        <v>1361000</v>
      </c>
      <c r="I74" s="84"/>
      <c r="J74" s="84"/>
      <c r="K74" s="84">
        <v>680502</v>
      </c>
      <c r="L74" s="84"/>
      <c r="M74" s="4">
        <f t="shared" si="9"/>
        <v>680502</v>
      </c>
      <c r="N74" s="67">
        <f t="shared" si="10"/>
        <v>0.500001469507715</v>
      </c>
    </row>
    <row r="75" spans="1:14" ht="37.5" customHeight="1">
      <c r="A75" s="139"/>
      <c r="B75" s="131"/>
      <c r="C75" s="33" t="s">
        <v>63</v>
      </c>
      <c r="D75" s="84"/>
      <c r="E75" s="84"/>
      <c r="F75" s="84"/>
      <c r="G75" s="84">
        <f>598000+90000</f>
        <v>688000</v>
      </c>
      <c r="H75" s="4">
        <f t="shared" si="8"/>
        <v>688000</v>
      </c>
      <c r="I75" s="84"/>
      <c r="J75" s="84"/>
      <c r="K75" s="84"/>
      <c r="L75" s="84">
        <v>276000</v>
      </c>
      <c r="M75" s="4">
        <f t="shared" si="9"/>
        <v>276000</v>
      </c>
      <c r="N75" s="67">
        <f t="shared" si="10"/>
        <v>0.4011627906976744</v>
      </c>
    </row>
    <row r="76" spans="1:14" s="5" customFormat="1" ht="30" customHeight="1">
      <c r="A76" s="53"/>
      <c r="B76" s="131"/>
      <c r="C76" s="74" t="s">
        <v>70</v>
      </c>
      <c r="D76" s="76">
        <v>61366</v>
      </c>
      <c r="E76" s="76"/>
      <c r="F76" s="76"/>
      <c r="G76" s="76"/>
      <c r="H76" s="4">
        <f t="shared" si="8"/>
        <v>61366</v>
      </c>
      <c r="I76" s="76">
        <v>11109.59</v>
      </c>
      <c r="J76" s="76">
        <v>144.85</v>
      </c>
      <c r="K76" s="76"/>
      <c r="L76" s="76"/>
      <c r="M76" s="4">
        <f t="shared" si="9"/>
        <v>11254.44</v>
      </c>
      <c r="N76" s="67">
        <f t="shared" si="10"/>
        <v>0.18339862464556922</v>
      </c>
    </row>
    <row r="77" spans="1:14" ht="9" customHeight="1">
      <c r="A77" s="52"/>
      <c r="B77" s="18" t="s">
        <v>116</v>
      </c>
      <c r="C77" s="18"/>
      <c r="D77" s="86">
        <f>SUM(D74:D76)</f>
        <v>61366</v>
      </c>
      <c r="E77" s="86">
        <f>SUM(E74:E76)</f>
        <v>0</v>
      </c>
      <c r="F77" s="86">
        <f>SUM(F74:F76)</f>
        <v>1361000</v>
      </c>
      <c r="G77" s="86">
        <f>SUM(G74:G76)</f>
        <v>688000</v>
      </c>
      <c r="H77" s="3">
        <f t="shared" si="8"/>
        <v>2110366</v>
      </c>
      <c r="I77" s="86">
        <f>SUM(I74:I76)</f>
        <v>11109.59</v>
      </c>
      <c r="J77" s="86">
        <f>SUM(J74:J76)</f>
        <v>144.85</v>
      </c>
      <c r="K77" s="86">
        <f>SUM(K74:K76)</f>
        <v>680502</v>
      </c>
      <c r="L77" s="86">
        <f>SUM(L74:L76)</f>
        <v>276000</v>
      </c>
      <c r="M77" s="3">
        <f t="shared" si="9"/>
        <v>967756.44</v>
      </c>
      <c r="N77" s="68">
        <f t="shared" si="10"/>
        <v>0.4585727973252033</v>
      </c>
    </row>
    <row r="78" spans="1:14" s="5" customFormat="1" ht="20.25" customHeight="1">
      <c r="A78" s="53"/>
      <c r="B78" s="128" t="s">
        <v>19</v>
      </c>
      <c r="C78" s="33" t="s">
        <v>213</v>
      </c>
      <c r="D78" s="76"/>
      <c r="E78" s="85"/>
      <c r="F78" s="85"/>
      <c r="G78" s="85"/>
      <c r="H78" s="4">
        <f t="shared" si="8"/>
        <v>0</v>
      </c>
      <c r="I78" s="76">
        <v>25879.09</v>
      </c>
      <c r="J78" s="85"/>
      <c r="K78" s="85"/>
      <c r="L78" s="85"/>
      <c r="M78" s="4">
        <f t="shared" si="9"/>
        <v>25879.09</v>
      </c>
      <c r="N78" s="67"/>
    </row>
    <row r="79" spans="1:14" ht="11.25" customHeight="1">
      <c r="A79" s="52"/>
      <c r="B79" s="129"/>
      <c r="C79" s="73" t="s">
        <v>74</v>
      </c>
      <c r="D79" s="76">
        <f>40000+45000</f>
        <v>85000</v>
      </c>
      <c r="E79" s="76">
        <f>54000+50000</f>
        <v>104000</v>
      </c>
      <c r="F79" s="76"/>
      <c r="G79" s="76"/>
      <c r="H79" s="4">
        <f t="shared" si="8"/>
        <v>189000</v>
      </c>
      <c r="I79" s="76">
        <v>31661.75</v>
      </c>
      <c r="J79" s="76">
        <v>15667</v>
      </c>
      <c r="K79" s="84"/>
      <c r="L79" s="84"/>
      <c r="M79" s="4">
        <f t="shared" si="9"/>
        <v>47328.75</v>
      </c>
      <c r="N79" s="67">
        <f>M79/H79</f>
        <v>0.2504166666666667</v>
      </c>
    </row>
    <row r="80" spans="1:14" ht="9" customHeight="1">
      <c r="A80" s="52"/>
      <c r="B80" s="17"/>
      <c r="C80" s="83" t="s">
        <v>64</v>
      </c>
      <c r="D80" s="76">
        <f>420000+100000-320000</f>
        <v>200000</v>
      </c>
      <c r="E80" s="76">
        <f>50000+50000</f>
        <v>100000</v>
      </c>
      <c r="F80" s="76"/>
      <c r="G80" s="76"/>
      <c r="H80" s="4">
        <f t="shared" si="8"/>
        <v>300000</v>
      </c>
      <c r="I80" s="76">
        <v>201811.67</v>
      </c>
      <c r="J80" s="76">
        <v>53370.26</v>
      </c>
      <c r="K80" s="84"/>
      <c r="L80" s="84"/>
      <c r="M80" s="4">
        <f t="shared" si="9"/>
        <v>255181.93000000002</v>
      </c>
      <c r="N80" s="67">
        <f>M80/H80</f>
        <v>0.8506064333333334</v>
      </c>
    </row>
    <row r="81" spans="1:14" ht="48" customHeight="1">
      <c r="A81" s="52"/>
      <c r="B81" s="17"/>
      <c r="C81" s="83" t="s">
        <v>94</v>
      </c>
      <c r="D81" s="76">
        <f>300000+1989000</f>
        <v>2289000</v>
      </c>
      <c r="E81" s="76"/>
      <c r="F81" s="76"/>
      <c r="G81" s="76"/>
      <c r="H81" s="4">
        <f t="shared" si="8"/>
        <v>2289000</v>
      </c>
      <c r="I81" s="76">
        <v>115990.49</v>
      </c>
      <c r="J81" s="76"/>
      <c r="K81" s="84"/>
      <c r="L81" s="84"/>
      <c r="M81" s="4">
        <f t="shared" si="9"/>
        <v>115990.49</v>
      </c>
      <c r="N81" s="67">
        <f>M81/H81</f>
        <v>0.050672996941896024</v>
      </c>
    </row>
    <row r="82" spans="1:14" ht="10.5" customHeight="1">
      <c r="A82" s="52"/>
      <c r="B82" s="17"/>
      <c r="C82" s="49" t="s">
        <v>69</v>
      </c>
      <c r="D82" s="76"/>
      <c r="E82" s="76"/>
      <c r="F82" s="76"/>
      <c r="G82" s="76"/>
      <c r="H82" s="4">
        <f aca="true" t="shared" si="12" ref="H82:H127">SUM(D82:G82)</f>
        <v>0</v>
      </c>
      <c r="I82" s="76">
        <v>24778.95</v>
      </c>
      <c r="J82" s="76"/>
      <c r="K82" s="84"/>
      <c r="L82" s="84"/>
      <c r="M82" s="4">
        <f aca="true" t="shared" si="13" ref="M82:M127">SUM(I82:L82)</f>
        <v>24778.95</v>
      </c>
      <c r="N82" s="67"/>
    </row>
    <row r="83" spans="1:14" ht="9.75" customHeight="1">
      <c r="A83" s="52"/>
      <c r="B83" s="17"/>
      <c r="C83" s="47" t="s">
        <v>65</v>
      </c>
      <c r="D83" s="76"/>
      <c r="E83" s="76"/>
      <c r="F83" s="76"/>
      <c r="G83" s="76"/>
      <c r="H83" s="4">
        <f t="shared" si="12"/>
        <v>0</v>
      </c>
      <c r="I83" s="76">
        <v>2567.95</v>
      </c>
      <c r="J83" s="76">
        <v>6.02</v>
      </c>
      <c r="K83" s="84"/>
      <c r="L83" s="84"/>
      <c r="M83" s="4">
        <f t="shared" si="13"/>
        <v>2573.97</v>
      </c>
      <c r="N83" s="67"/>
    </row>
    <row r="84" spans="1:14" ht="9.75" customHeight="1">
      <c r="A84" s="52"/>
      <c r="B84" s="17"/>
      <c r="C84" s="47" t="s">
        <v>253</v>
      </c>
      <c r="D84" s="76"/>
      <c r="E84" s="76"/>
      <c r="F84" s="76"/>
      <c r="G84" s="76"/>
      <c r="H84" s="4">
        <f t="shared" si="12"/>
        <v>0</v>
      </c>
      <c r="I84" s="76"/>
      <c r="J84" s="76"/>
      <c r="K84" s="84"/>
      <c r="L84" s="84"/>
      <c r="M84" s="4">
        <f t="shared" si="13"/>
        <v>0</v>
      </c>
      <c r="N84" s="67"/>
    </row>
    <row r="85" spans="1:14" s="5" customFormat="1" ht="9.75" customHeight="1">
      <c r="A85" s="53"/>
      <c r="B85" s="17"/>
      <c r="C85" s="47" t="s">
        <v>67</v>
      </c>
      <c r="D85" s="76">
        <v>300000</v>
      </c>
      <c r="E85" s="76"/>
      <c r="F85" s="76"/>
      <c r="G85" s="76"/>
      <c r="H85" s="4">
        <f t="shared" si="12"/>
        <v>300000</v>
      </c>
      <c r="I85" s="76">
        <v>144476.91</v>
      </c>
      <c r="J85" s="76"/>
      <c r="K85" s="76"/>
      <c r="L85" s="76"/>
      <c r="M85" s="4">
        <f t="shared" si="13"/>
        <v>144476.91</v>
      </c>
      <c r="N85" s="67">
        <f aca="true" t="shared" si="14" ref="N85:N102">M85/H85</f>
        <v>0.4815897</v>
      </c>
    </row>
    <row r="86" spans="1:14" s="5" customFormat="1" ht="18.75" customHeight="1">
      <c r="A86" s="53"/>
      <c r="B86" s="17"/>
      <c r="C86" s="48" t="s">
        <v>268</v>
      </c>
      <c r="D86" s="76">
        <f>481966-72295</f>
        <v>409671</v>
      </c>
      <c r="E86" s="76"/>
      <c r="F86" s="76"/>
      <c r="G86" s="76"/>
      <c r="H86" s="4">
        <f t="shared" si="12"/>
        <v>409671</v>
      </c>
      <c r="I86" s="76">
        <v>168111.24</v>
      </c>
      <c r="J86" s="76"/>
      <c r="K86" s="76"/>
      <c r="L86" s="76"/>
      <c r="M86" s="4">
        <f t="shared" si="13"/>
        <v>168111.24</v>
      </c>
      <c r="N86" s="67">
        <f t="shared" si="14"/>
        <v>0.4103567008648403</v>
      </c>
    </row>
    <row r="87" spans="1:14" s="5" customFormat="1" ht="18.75" customHeight="1">
      <c r="A87" s="53"/>
      <c r="B87" s="17"/>
      <c r="C87" s="48" t="s">
        <v>270</v>
      </c>
      <c r="D87" s="76">
        <v>72295</v>
      </c>
      <c r="E87" s="76"/>
      <c r="F87" s="76"/>
      <c r="G87" s="76"/>
      <c r="H87" s="4">
        <f t="shared" si="12"/>
        <v>72295</v>
      </c>
      <c r="I87" s="76">
        <v>29666.69</v>
      </c>
      <c r="J87" s="76"/>
      <c r="K87" s="76"/>
      <c r="L87" s="76"/>
      <c r="M87" s="4">
        <f t="shared" si="13"/>
        <v>29666.69</v>
      </c>
      <c r="N87" s="67">
        <f t="shared" si="14"/>
        <v>0.41035604122000136</v>
      </c>
    </row>
    <row r="88" spans="1:14" ht="30" customHeight="1">
      <c r="A88" s="52"/>
      <c r="B88" s="17"/>
      <c r="C88" s="48" t="s">
        <v>75</v>
      </c>
      <c r="D88" s="76"/>
      <c r="E88" s="76">
        <v>17680</v>
      </c>
      <c r="F88" s="76"/>
      <c r="G88" s="76"/>
      <c r="H88" s="4">
        <f t="shared" si="12"/>
        <v>17680</v>
      </c>
      <c r="I88" s="76"/>
      <c r="J88" s="76">
        <v>16793.26</v>
      </c>
      <c r="K88" s="84"/>
      <c r="L88" s="84"/>
      <c r="M88" s="4">
        <f t="shared" si="13"/>
        <v>16793.26</v>
      </c>
      <c r="N88" s="67">
        <f t="shared" si="14"/>
        <v>0.9498450226244343</v>
      </c>
    </row>
    <row r="89" spans="1:14" ht="10.5" customHeight="1">
      <c r="A89" s="52"/>
      <c r="B89" s="21" t="s">
        <v>117</v>
      </c>
      <c r="C89" s="18"/>
      <c r="D89" s="86">
        <f>SUM(D78:D88)</f>
        <v>3355966</v>
      </c>
      <c r="E89" s="86">
        <f>SUM(E78:E88)</f>
        <v>221680</v>
      </c>
      <c r="F89" s="86">
        <f>SUM(F78:F88)</f>
        <v>0</v>
      </c>
      <c r="G89" s="86">
        <f>SUM(G78:G88)</f>
        <v>0</v>
      </c>
      <c r="H89" s="3">
        <f t="shared" si="12"/>
        <v>3577646</v>
      </c>
      <c r="I89" s="86">
        <f>SUM(I78:I88)</f>
        <v>744944.74</v>
      </c>
      <c r="J89" s="86">
        <f>SUM(J78:J88)</f>
        <v>85836.54000000001</v>
      </c>
      <c r="K89" s="86">
        <f>SUM(K78:K88)</f>
        <v>0</v>
      </c>
      <c r="L89" s="86">
        <f>SUM(L78:L88)</f>
        <v>0</v>
      </c>
      <c r="M89" s="3">
        <f t="shared" si="13"/>
        <v>830781.28</v>
      </c>
      <c r="N89" s="68">
        <f t="shared" si="14"/>
        <v>0.23221450081981282</v>
      </c>
    </row>
    <row r="90" spans="1:14" ht="39" customHeight="1">
      <c r="A90" s="52"/>
      <c r="B90" s="13" t="s">
        <v>20</v>
      </c>
      <c r="C90" s="17" t="s">
        <v>63</v>
      </c>
      <c r="D90" s="84"/>
      <c r="E90" s="84"/>
      <c r="F90" s="84"/>
      <c r="G90" s="84">
        <v>99600</v>
      </c>
      <c r="H90" s="4">
        <f t="shared" si="12"/>
        <v>99600</v>
      </c>
      <c r="I90" s="84"/>
      <c r="J90" s="84"/>
      <c r="K90" s="84"/>
      <c r="L90" s="84">
        <v>54000</v>
      </c>
      <c r="M90" s="4">
        <f t="shared" si="13"/>
        <v>54000</v>
      </c>
      <c r="N90" s="67">
        <f t="shared" si="14"/>
        <v>0.5421686746987951</v>
      </c>
    </row>
    <row r="91" spans="1:14" ht="10.5" customHeight="1">
      <c r="A91" s="52"/>
      <c r="B91" s="21" t="s">
        <v>118</v>
      </c>
      <c r="C91" s="18"/>
      <c r="D91" s="86">
        <f>SUM(D90)</f>
        <v>0</v>
      </c>
      <c r="E91" s="86">
        <f>SUM(E90)</f>
        <v>0</v>
      </c>
      <c r="F91" s="86">
        <f>SUM(F90)</f>
        <v>0</v>
      </c>
      <c r="G91" s="86">
        <f>SUM(G90)</f>
        <v>99600</v>
      </c>
      <c r="H91" s="3">
        <f t="shared" si="12"/>
        <v>99600</v>
      </c>
      <c r="I91" s="86">
        <f>SUM(I90)</f>
        <v>0</v>
      </c>
      <c r="J91" s="86">
        <f>SUM(J90)</f>
        <v>0</v>
      </c>
      <c r="K91" s="86">
        <f>SUM(K90)</f>
        <v>0</v>
      </c>
      <c r="L91" s="86">
        <f>SUM(L90)</f>
        <v>54000</v>
      </c>
      <c r="M91" s="3">
        <f t="shared" si="13"/>
        <v>54000</v>
      </c>
      <c r="N91" s="68">
        <f t="shared" si="14"/>
        <v>0.5421686746987951</v>
      </c>
    </row>
    <row r="92" spans="1:14" ht="9.75" customHeight="1">
      <c r="A92" s="23" t="s">
        <v>21</v>
      </c>
      <c r="B92" s="24"/>
      <c r="C92" s="14"/>
      <c r="D92" s="87">
        <f>SUM(D91,D89,D77)</f>
        <v>3417332</v>
      </c>
      <c r="E92" s="87">
        <f>SUM(E91,E89,E77)</f>
        <v>221680</v>
      </c>
      <c r="F92" s="87">
        <f aca="true" t="shared" si="15" ref="F92:M92">SUM(F91,F89,F77)</f>
        <v>1361000</v>
      </c>
      <c r="G92" s="87">
        <f t="shared" si="15"/>
        <v>787600</v>
      </c>
      <c r="H92" s="87">
        <f t="shared" si="15"/>
        <v>5787612</v>
      </c>
      <c r="I92" s="87">
        <f t="shared" si="15"/>
        <v>756054.33</v>
      </c>
      <c r="J92" s="87">
        <f t="shared" si="15"/>
        <v>85981.39000000001</v>
      </c>
      <c r="K92" s="87">
        <f t="shared" si="15"/>
        <v>680502</v>
      </c>
      <c r="L92" s="87">
        <f t="shared" si="15"/>
        <v>330000</v>
      </c>
      <c r="M92" s="87">
        <f t="shared" si="15"/>
        <v>1852537.72</v>
      </c>
      <c r="N92" s="69">
        <f t="shared" si="14"/>
        <v>0.32008671624842855</v>
      </c>
    </row>
    <row r="93" spans="1:14" ht="42" customHeight="1">
      <c r="A93" s="138" t="s">
        <v>22</v>
      </c>
      <c r="B93" s="31" t="s">
        <v>23</v>
      </c>
      <c r="C93" s="17" t="s">
        <v>115</v>
      </c>
      <c r="D93" s="84"/>
      <c r="E93" s="84"/>
      <c r="F93" s="84">
        <v>40185</v>
      </c>
      <c r="G93" s="84"/>
      <c r="H93" s="4">
        <f t="shared" si="12"/>
        <v>40185</v>
      </c>
      <c r="I93" s="84"/>
      <c r="J93" s="84"/>
      <c r="K93" s="84">
        <v>20088</v>
      </c>
      <c r="L93" s="84"/>
      <c r="M93" s="4">
        <f t="shared" si="13"/>
        <v>20088</v>
      </c>
      <c r="N93" s="67">
        <f t="shared" si="14"/>
        <v>0.4998880179171333</v>
      </c>
    </row>
    <row r="94" spans="1:14" ht="11.25" customHeight="1">
      <c r="A94" s="140"/>
      <c r="B94" s="158" t="s">
        <v>119</v>
      </c>
      <c r="C94" s="159"/>
      <c r="D94" s="86">
        <f>SUM(D93)</f>
        <v>0</v>
      </c>
      <c r="E94" s="86">
        <f>SUM(E93)</f>
        <v>0</v>
      </c>
      <c r="F94" s="86">
        <f>SUM(F93)</f>
        <v>40185</v>
      </c>
      <c r="G94" s="86">
        <f>SUM(G93)</f>
        <v>0</v>
      </c>
      <c r="H94" s="3">
        <f t="shared" si="12"/>
        <v>40185</v>
      </c>
      <c r="I94" s="86">
        <f>SUM(I93)</f>
        <v>0</v>
      </c>
      <c r="J94" s="86">
        <f>SUM(J93)</f>
        <v>0</v>
      </c>
      <c r="K94" s="86">
        <f>SUM(K93)</f>
        <v>20088</v>
      </c>
      <c r="L94" s="86">
        <f>SUM(L93)</f>
        <v>0</v>
      </c>
      <c r="M94" s="3">
        <f t="shared" si="13"/>
        <v>20088</v>
      </c>
      <c r="N94" s="68">
        <f t="shared" si="14"/>
        <v>0.4998880179171333</v>
      </c>
    </row>
    <row r="95" spans="1:14" s="5" customFormat="1" ht="40.5" customHeight="1">
      <c r="A95" s="140"/>
      <c r="B95" s="10" t="s">
        <v>275</v>
      </c>
      <c r="C95" s="17" t="s">
        <v>115</v>
      </c>
      <c r="D95" s="85"/>
      <c r="E95" s="85"/>
      <c r="F95" s="76">
        <f>119256+8000+120645</f>
        <v>247901</v>
      </c>
      <c r="G95" s="85"/>
      <c r="H95" s="4">
        <f t="shared" si="12"/>
        <v>247901</v>
      </c>
      <c r="I95" s="85"/>
      <c r="J95" s="85"/>
      <c r="K95" s="76">
        <v>247901</v>
      </c>
      <c r="L95" s="85"/>
      <c r="M95" s="4">
        <f t="shared" si="13"/>
        <v>247901</v>
      </c>
      <c r="N95" s="67">
        <f t="shared" si="14"/>
        <v>1</v>
      </c>
    </row>
    <row r="96" spans="1:14" s="41" customFormat="1" ht="12" customHeight="1">
      <c r="A96" s="141"/>
      <c r="B96" s="34" t="s">
        <v>276</v>
      </c>
      <c r="C96" s="22"/>
      <c r="D96" s="86">
        <f>SUM(D95)</f>
        <v>0</v>
      </c>
      <c r="E96" s="86">
        <f>SUM(E95)</f>
        <v>0</v>
      </c>
      <c r="F96" s="86">
        <f>SUM(F95)</f>
        <v>247901</v>
      </c>
      <c r="G96" s="86">
        <f>SUM(G95)</f>
        <v>0</v>
      </c>
      <c r="H96" s="3">
        <f t="shared" si="12"/>
        <v>247901</v>
      </c>
      <c r="I96" s="86">
        <f>SUM(I95)</f>
        <v>0</v>
      </c>
      <c r="J96" s="86">
        <f>SUM(J95)</f>
        <v>0</v>
      </c>
      <c r="K96" s="86">
        <f>SUM(K95)</f>
        <v>247901</v>
      </c>
      <c r="L96" s="86">
        <f>SUM(L95)</f>
        <v>0</v>
      </c>
      <c r="M96" s="3">
        <f t="shared" si="13"/>
        <v>247901</v>
      </c>
      <c r="N96" s="68">
        <f t="shared" si="14"/>
        <v>1</v>
      </c>
    </row>
    <row r="97" spans="1:14" ht="12" customHeight="1">
      <c r="A97" s="23" t="s">
        <v>24</v>
      </c>
      <c r="B97" s="24"/>
      <c r="C97" s="14"/>
      <c r="D97" s="87">
        <f>SUM(D96,D94)</f>
        <v>0</v>
      </c>
      <c r="E97" s="87">
        <f>SUM(E96,E94)</f>
        <v>0</v>
      </c>
      <c r="F97" s="87">
        <f aca="true" t="shared" si="16" ref="F97:M97">SUM(F96,F94)</f>
        <v>288086</v>
      </c>
      <c r="G97" s="87">
        <f t="shared" si="16"/>
        <v>0</v>
      </c>
      <c r="H97" s="87">
        <f t="shared" si="16"/>
        <v>288086</v>
      </c>
      <c r="I97" s="87">
        <f t="shared" si="16"/>
        <v>0</v>
      </c>
      <c r="J97" s="87">
        <f t="shared" si="16"/>
        <v>0</v>
      </c>
      <c r="K97" s="87">
        <f t="shared" si="16"/>
        <v>267989</v>
      </c>
      <c r="L97" s="87">
        <f t="shared" si="16"/>
        <v>0</v>
      </c>
      <c r="M97" s="87">
        <f t="shared" si="16"/>
        <v>267989</v>
      </c>
      <c r="N97" s="69">
        <f t="shared" si="14"/>
        <v>0.9302395812361587</v>
      </c>
    </row>
    <row r="98" spans="1:14" ht="41.25" customHeight="1">
      <c r="A98" s="138" t="s">
        <v>25</v>
      </c>
      <c r="B98" s="128" t="s">
        <v>26</v>
      </c>
      <c r="C98" s="9" t="s">
        <v>63</v>
      </c>
      <c r="D98" s="84"/>
      <c r="E98" s="84"/>
      <c r="F98" s="84"/>
      <c r="G98" s="84">
        <f>11397000+13300</f>
        <v>11410300</v>
      </c>
      <c r="H98" s="4">
        <f t="shared" si="12"/>
        <v>11410300</v>
      </c>
      <c r="I98" s="84"/>
      <c r="J98" s="84"/>
      <c r="K98" s="84"/>
      <c r="L98" s="84">
        <v>7256300</v>
      </c>
      <c r="M98" s="4">
        <f t="shared" si="13"/>
        <v>7256300</v>
      </c>
      <c r="N98" s="67">
        <f t="shared" si="14"/>
        <v>0.6359429638133967</v>
      </c>
    </row>
    <row r="99" spans="1:14" ht="30" customHeight="1">
      <c r="A99" s="140"/>
      <c r="B99" s="129"/>
      <c r="C99" s="10" t="s">
        <v>70</v>
      </c>
      <c r="D99" s="84"/>
      <c r="E99" s="76">
        <v>1300</v>
      </c>
      <c r="F99" s="84"/>
      <c r="G99" s="84"/>
      <c r="H99" s="4">
        <f t="shared" si="12"/>
        <v>1300</v>
      </c>
      <c r="I99" s="84"/>
      <c r="J99" s="76">
        <v>566.17</v>
      </c>
      <c r="K99" s="84"/>
      <c r="L99" s="84"/>
      <c r="M99" s="4">
        <f t="shared" si="13"/>
        <v>566.17</v>
      </c>
      <c r="N99" s="67">
        <f t="shared" si="14"/>
        <v>0.4355153846153846</v>
      </c>
    </row>
    <row r="100" spans="1:14" ht="39" customHeight="1">
      <c r="A100" s="43"/>
      <c r="B100" s="130"/>
      <c r="C100" s="12" t="s">
        <v>120</v>
      </c>
      <c r="D100" s="84"/>
      <c r="E100" s="84"/>
      <c r="F100" s="84"/>
      <c r="G100" s="84">
        <v>300000</v>
      </c>
      <c r="H100" s="4">
        <f t="shared" si="12"/>
        <v>300000</v>
      </c>
      <c r="I100" s="84"/>
      <c r="J100" s="84"/>
      <c r="K100" s="84"/>
      <c r="L100" s="84">
        <v>300000</v>
      </c>
      <c r="M100" s="4">
        <f t="shared" si="13"/>
        <v>300000</v>
      </c>
      <c r="N100" s="67">
        <f t="shared" si="14"/>
        <v>1</v>
      </c>
    </row>
    <row r="101" spans="1:14" ht="9.75">
      <c r="A101" s="45"/>
      <c r="B101" s="21" t="s">
        <v>121</v>
      </c>
      <c r="C101" s="18"/>
      <c r="D101" s="86">
        <f>SUM(D98:D100)</f>
        <v>0</v>
      </c>
      <c r="E101" s="86">
        <f>SUM(E98:E100)</f>
        <v>1300</v>
      </c>
      <c r="F101" s="86">
        <f>SUM(F98:F100)</f>
        <v>0</v>
      </c>
      <c r="G101" s="86">
        <f>SUM(G98:G100)</f>
        <v>11710300</v>
      </c>
      <c r="H101" s="3">
        <f t="shared" si="12"/>
        <v>11711600</v>
      </c>
      <c r="I101" s="86">
        <f>SUM(I98:I100)</f>
        <v>0</v>
      </c>
      <c r="J101" s="86">
        <f>SUM(J98:J100)</f>
        <v>566.17</v>
      </c>
      <c r="K101" s="86">
        <f>SUM(K98:K100)</f>
        <v>0</v>
      </c>
      <c r="L101" s="86">
        <f>SUM(L98:L100)</f>
        <v>7556300</v>
      </c>
      <c r="M101" s="3">
        <f t="shared" si="13"/>
        <v>7556866.17</v>
      </c>
      <c r="N101" s="68">
        <f t="shared" si="14"/>
        <v>0.6452462660951536</v>
      </c>
    </row>
    <row r="102" spans="1:14" ht="21" customHeight="1">
      <c r="A102" s="45"/>
      <c r="B102" s="128" t="s">
        <v>52</v>
      </c>
      <c r="C102" s="17" t="s">
        <v>77</v>
      </c>
      <c r="D102" s="84">
        <v>135000</v>
      </c>
      <c r="E102" s="84"/>
      <c r="F102" s="84"/>
      <c r="G102" s="84"/>
      <c r="H102" s="4">
        <f t="shared" si="12"/>
        <v>135000</v>
      </c>
      <c r="I102" s="84">
        <v>143546.12</v>
      </c>
      <c r="J102" s="84"/>
      <c r="K102" s="84"/>
      <c r="L102" s="84"/>
      <c r="M102" s="4">
        <f t="shared" si="13"/>
        <v>143546.12</v>
      </c>
      <c r="N102" s="67">
        <f t="shared" si="14"/>
        <v>1.0633045925925926</v>
      </c>
    </row>
    <row r="103" spans="1:14" ht="10.5" customHeight="1">
      <c r="A103" s="45"/>
      <c r="B103" s="130"/>
      <c r="C103" s="10" t="s">
        <v>64</v>
      </c>
      <c r="D103" s="84"/>
      <c r="E103" s="84"/>
      <c r="F103" s="84"/>
      <c r="G103" s="84"/>
      <c r="H103" s="4">
        <f t="shared" si="12"/>
        <v>0</v>
      </c>
      <c r="I103" s="84">
        <v>82.87</v>
      </c>
      <c r="J103" s="84"/>
      <c r="K103" s="84"/>
      <c r="L103" s="84"/>
      <c r="M103" s="4">
        <f t="shared" si="13"/>
        <v>82.87</v>
      </c>
      <c r="N103" s="67"/>
    </row>
    <row r="104" spans="1:14" ht="9" customHeight="1">
      <c r="A104" s="65"/>
      <c r="B104" s="25" t="s">
        <v>122</v>
      </c>
      <c r="C104" s="22"/>
      <c r="D104" s="86">
        <f>SUM(D102:D103)</f>
        <v>135000</v>
      </c>
      <c r="E104" s="86">
        <f>SUM(E102:E103)</f>
        <v>0</v>
      </c>
      <c r="F104" s="86">
        <f>SUM(F102:F103)</f>
        <v>0</v>
      </c>
      <c r="G104" s="86">
        <f>SUM(G102:G103)</f>
        <v>0</v>
      </c>
      <c r="H104" s="3">
        <f t="shared" si="12"/>
        <v>135000</v>
      </c>
      <c r="I104" s="86">
        <f>SUM(I102:I103)</f>
        <v>143628.99</v>
      </c>
      <c r="J104" s="86">
        <f>SUM(J102:J103)</f>
        <v>0</v>
      </c>
      <c r="K104" s="86">
        <f>SUM(K102:K103)</f>
        <v>0</v>
      </c>
      <c r="L104" s="86">
        <f>SUM(L102:L103)</f>
        <v>0</v>
      </c>
      <c r="M104" s="3">
        <f t="shared" si="13"/>
        <v>143628.99</v>
      </c>
      <c r="N104" s="68">
        <f>M104/H104</f>
        <v>1.0639184444444443</v>
      </c>
    </row>
    <row r="105" spans="1:14" ht="11.25">
      <c r="A105" s="23" t="s">
        <v>27</v>
      </c>
      <c r="B105" s="24"/>
      <c r="C105" s="14"/>
      <c r="D105" s="87">
        <f>SUM(D104,D101)</f>
        <v>135000</v>
      </c>
      <c r="E105" s="87">
        <f>SUM(E104,E101)</f>
        <v>1300</v>
      </c>
      <c r="F105" s="87">
        <f>SUM(F104,F101)</f>
        <v>0</v>
      </c>
      <c r="G105" s="87">
        <f>SUM(G104,G101)</f>
        <v>11710300</v>
      </c>
      <c r="H105" s="15">
        <f t="shared" si="12"/>
        <v>11846600</v>
      </c>
      <c r="I105" s="87">
        <f>SUM(I104,I101)</f>
        <v>143628.99</v>
      </c>
      <c r="J105" s="87">
        <f>SUM(J104,J101)</f>
        <v>566.17</v>
      </c>
      <c r="K105" s="87">
        <f>SUM(K104,K101)</f>
        <v>0</v>
      </c>
      <c r="L105" s="87">
        <f>SUM(L104,L101)</f>
        <v>7556300</v>
      </c>
      <c r="M105" s="15">
        <f t="shared" si="13"/>
        <v>7700495.16</v>
      </c>
      <c r="N105" s="69">
        <f>M105/H105</f>
        <v>0.6500173180490605</v>
      </c>
    </row>
    <row r="106" spans="1:14" ht="21" customHeight="1">
      <c r="A106" s="134" t="s">
        <v>93</v>
      </c>
      <c r="B106" s="144" t="s">
        <v>28</v>
      </c>
      <c r="C106" s="9" t="s">
        <v>123</v>
      </c>
      <c r="D106" s="84">
        <v>900000</v>
      </c>
      <c r="E106" s="84"/>
      <c r="F106" s="84"/>
      <c r="G106" s="84"/>
      <c r="H106" s="4">
        <f t="shared" si="12"/>
        <v>900000</v>
      </c>
      <c r="I106" s="84">
        <v>351842.21</v>
      </c>
      <c r="J106" s="84"/>
      <c r="K106" s="84"/>
      <c r="L106" s="84"/>
      <c r="M106" s="4">
        <f t="shared" si="13"/>
        <v>351842.21</v>
      </c>
      <c r="N106" s="67">
        <f>M106/H106</f>
        <v>0.3909357888888889</v>
      </c>
    </row>
    <row r="107" spans="1:14" ht="21" customHeight="1">
      <c r="A107" s="135"/>
      <c r="B107" s="145"/>
      <c r="C107" s="12" t="s">
        <v>78</v>
      </c>
      <c r="D107" s="84"/>
      <c r="E107" s="84"/>
      <c r="F107" s="84"/>
      <c r="G107" s="84"/>
      <c r="H107" s="4">
        <f t="shared" si="12"/>
        <v>0</v>
      </c>
      <c r="I107" s="84">
        <v>19738.7</v>
      </c>
      <c r="J107" s="84"/>
      <c r="K107" s="84"/>
      <c r="L107" s="84"/>
      <c r="M107" s="4">
        <f t="shared" si="13"/>
        <v>19738.7</v>
      </c>
      <c r="N107" s="67"/>
    </row>
    <row r="108" spans="1:14" ht="10.5" customHeight="1">
      <c r="A108" s="135"/>
      <c r="B108" s="21" t="s">
        <v>124</v>
      </c>
      <c r="C108" s="18"/>
      <c r="D108" s="86">
        <f>SUM(D106:D107)</f>
        <v>900000</v>
      </c>
      <c r="E108" s="86">
        <f>SUM(E106:E107)</f>
        <v>0</v>
      </c>
      <c r="F108" s="86">
        <f>SUM(F106:F107)</f>
        <v>0</v>
      </c>
      <c r="G108" s="86">
        <f>SUM(G106:G107)</f>
        <v>0</v>
      </c>
      <c r="H108" s="3">
        <f t="shared" si="12"/>
        <v>900000</v>
      </c>
      <c r="I108" s="86">
        <f>SUM(I106:I107)</f>
        <v>371580.91000000003</v>
      </c>
      <c r="J108" s="86">
        <f>SUM(J106:J107)</f>
        <v>0</v>
      </c>
      <c r="K108" s="86">
        <f>SUM(K106:K107)</f>
        <v>0</v>
      </c>
      <c r="L108" s="86">
        <f>SUM(L106:L107)</f>
        <v>0</v>
      </c>
      <c r="M108" s="3">
        <f t="shared" si="13"/>
        <v>371580.91000000003</v>
      </c>
      <c r="N108" s="68">
        <f aca="true" t="shared" si="17" ref="N108:N121">M108/H108</f>
        <v>0.41286767777777783</v>
      </c>
    </row>
    <row r="109" spans="1:14" ht="9.75">
      <c r="A109" s="135"/>
      <c r="B109" s="128" t="s">
        <v>125</v>
      </c>
      <c r="C109" s="46" t="s">
        <v>79</v>
      </c>
      <c r="D109" s="76">
        <f>86000000+1750000</f>
        <v>87750000</v>
      </c>
      <c r="E109" s="76"/>
      <c r="F109" s="76"/>
      <c r="G109" s="76"/>
      <c r="H109" s="4">
        <f t="shared" si="12"/>
        <v>87750000</v>
      </c>
      <c r="I109" s="76">
        <v>46440680.79</v>
      </c>
      <c r="J109" s="84"/>
      <c r="K109" s="84"/>
      <c r="L109" s="84"/>
      <c r="M109" s="4">
        <f t="shared" si="13"/>
        <v>46440680.79</v>
      </c>
      <c r="N109" s="67">
        <f t="shared" si="17"/>
        <v>0.5292385275213675</v>
      </c>
    </row>
    <row r="110" spans="1:14" ht="9.75">
      <c r="A110" s="135"/>
      <c r="B110" s="129"/>
      <c r="C110" s="47" t="s">
        <v>80</v>
      </c>
      <c r="D110" s="76">
        <v>2000</v>
      </c>
      <c r="E110" s="76"/>
      <c r="F110" s="76"/>
      <c r="G110" s="76"/>
      <c r="H110" s="4">
        <f t="shared" si="12"/>
        <v>2000</v>
      </c>
      <c r="I110" s="76">
        <v>1723</v>
      </c>
      <c r="J110" s="84"/>
      <c r="K110" s="84"/>
      <c r="L110" s="84"/>
      <c r="M110" s="4">
        <f t="shared" si="13"/>
        <v>1723</v>
      </c>
      <c r="N110" s="67">
        <f t="shared" si="17"/>
        <v>0.8615</v>
      </c>
    </row>
    <row r="111" spans="1:14" ht="9.75">
      <c r="A111" s="135"/>
      <c r="B111" s="129"/>
      <c r="C111" s="47" t="s">
        <v>81</v>
      </c>
      <c r="D111" s="76">
        <v>70000</v>
      </c>
      <c r="E111" s="76"/>
      <c r="F111" s="76"/>
      <c r="G111" s="76"/>
      <c r="H111" s="4">
        <f t="shared" si="12"/>
        <v>70000</v>
      </c>
      <c r="I111" s="76">
        <v>45776</v>
      </c>
      <c r="J111" s="84"/>
      <c r="K111" s="84"/>
      <c r="L111" s="84"/>
      <c r="M111" s="4">
        <f t="shared" si="13"/>
        <v>45776</v>
      </c>
      <c r="N111" s="67">
        <f t="shared" si="17"/>
        <v>0.6539428571428572</v>
      </c>
    </row>
    <row r="112" spans="1:14" ht="9.75" customHeight="1">
      <c r="A112" s="135"/>
      <c r="B112" s="129"/>
      <c r="C112" s="47" t="s">
        <v>82</v>
      </c>
      <c r="D112" s="76">
        <f>4480600+1200000</f>
        <v>5680600</v>
      </c>
      <c r="E112" s="76"/>
      <c r="F112" s="76"/>
      <c r="G112" s="76"/>
      <c r="H112" s="4">
        <f t="shared" si="12"/>
        <v>5680600</v>
      </c>
      <c r="I112" s="76">
        <v>3138417.94</v>
      </c>
      <c r="J112" s="84"/>
      <c r="K112" s="84"/>
      <c r="L112" s="84"/>
      <c r="M112" s="4">
        <f t="shared" si="13"/>
        <v>3138417.94</v>
      </c>
      <c r="N112" s="67">
        <f t="shared" si="17"/>
        <v>0.5524800091539626</v>
      </c>
    </row>
    <row r="113" spans="1:14" s="5" customFormat="1" ht="10.5" customHeight="1">
      <c r="A113" s="135"/>
      <c r="B113" s="129"/>
      <c r="C113" s="47" t="s">
        <v>83</v>
      </c>
      <c r="D113" s="76">
        <v>3526100</v>
      </c>
      <c r="E113" s="76"/>
      <c r="F113" s="76"/>
      <c r="G113" s="76"/>
      <c r="H113" s="4">
        <f t="shared" si="12"/>
        <v>3526100</v>
      </c>
      <c r="I113" s="76">
        <v>1839270.35</v>
      </c>
      <c r="J113" s="76"/>
      <c r="K113" s="76"/>
      <c r="L113" s="76"/>
      <c r="M113" s="4">
        <f t="shared" si="13"/>
        <v>1839270.35</v>
      </c>
      <c r="N113" s="67">
        <f t="shared" si="17"/>
        <v>0.5216160488925442</v>
      </c>
    </row>
    <row r="114" spans="1:14" ht="20.25" customHeight="1">
      <c r="A114" s="135"/>
      <c r="B114" s="129"/>
      <c r="C114" s="12" t="s">
        <v>78</v>
      </c>
      <c r="D114" s="76">
        <v>900000</v>
      </c>
      <c r="E114" s="84"/>
      <c r="F114" s="84"/>
      <c r="G114" s="84"/>
      <c r="H114" s="4">
        <f t="shared" si="12"/>
        <v>900000</v>
      </c>
      <c r="I114" s="76">
        <v>623427.4</v>
      </c>
      <c r="J114" s="84"/>
      <c r="K114" s="84"/>
      <c r="L114" s="84"/>
      <c r="M114" s="4">
        <f t="shared" si="13"/>
        <v>623427.4</v>
      </c>
      <c r="N114" s="67">
        <f t="shared" si="17"/>
        <v>0.6926971111111111</v>
      </c>
    </row>
    <row r="115" spans="1:14" ht="21" customHeight="1">
      <c r="A115" s="135"/>
      <c r="B115" s="130"/>
      <c r="C115" s="48" t="s">
        <v>250</v>
      </c>
      <c r="D115" s="76">
        <v>440000</v>
      </c>
      <c r="F115" s="84"/>
      <c r="G115" s="84"/>
      <c r="H115" s="4">
        <f t="shared" si="12"/>
        <v>440000</v>
      </c>
      <c r="I115" s="76">
        <v>185540</v>
      </c>
      <c r="J115" s="89"/>
      <c r="K115" s="84"/>
      <c r="L115" s="84"/>
      <c r="M115" s="4">
        <f t="shared" si="13"/>
        <v>185540</v>
      </c>
      <c r="N115" s="67">
        <f t="shared" si="17"/>
        <v>0.42168181818181816</v>
      </c>
    </row>
    <row r="116" spans="1:14" ht="9" customHeight="1">
      <c r="A116" s="135"/>
      <c r="B116" s="21" t="s">
        <v>126</v>
      </c>
      <c r="C116" s="18"/>
      <c r="D116" s="86">
        <f>SUM(D109:D115)</f>
        <v>98368700</v>
      </c>
      <c r="E116" s="86">
        <f>SUM(E109:E115)</f>
        <v>0</v>
      </c>
      <c r="F116" s="86">
        <f>SUM(F109:F115)</f>
        <v>0</v>
      </c>
      <c r="G116" s="86">
        <f>SUM(G109:G115)</f>
        <v>0</v>
      </c>
      <c r="H116" s="3">
        <f t="shared" si="12"/>
        <v>98368700</v>
      </c>
      <c r="I116" s="86">
        <f>SUM(I109:I115)</f>
        <v>52274835.48</v>
      </c>
      <c r="J116" s="86">
        <f>SUM(J109:J115)</f>
        <v>0</v>
      </c>
      <c r="K116" s="86">
        <f>SUM(K109:K115)</f>
        <v>0</v>
      </c>
      <c r="L116" s="86">
        <f>SUM(L109:L115)</f>
        <v>0</v>
      </c>
      <c r="M116" s="3">
        <f t="shared" si="13"/>
        <v>52274835.48</v>
      </c>
      <c r="N116" s="68">
        <f t="shared" si="17"/>
        <v>0.531417366296393</v>
      </c>
    </row>
    <row r="117" spans="1:14" s="5" customFormat="1" ht="11.25" customHeight="1">
      <c r="A117" s="135"/>
      <c r="B117" s="157" t="s">
        <v>127</v>
      </c>
      <c r="C117" s="46" t="s">
        <v>79</v>
      </c>
      <c r="D117" s="76">
        <f>16359400+1750000</f>
        <v>18109400</v>
      </c>
      <c r="E117" s="76"/>
      <c r="F117" s="76"/>
      <c r="G117" s="76"/>
      <c r="H117" s="4">
        <f t="shared" si="12"/>
        <v>18109400</v>
      </c>
      <c r="I117" s="76">
        <v>11016290.85</v>
      </c>
      <c r="J117" s="76"/>
      <c r="K117" s="76"/>
      <c r="L117" s="76"/>
      <c r="M117" s="4">
        <f t="shared" si="13"/>
        <v>11016290.85</v>
      </c>
      <c r="N117" s="67">
        <f t="shared" si="17"/>
        <v>0.6083189310523817</v>
      </c>
    </row>
    <row r="118" spans="1:14" s="5" customFormat="1" ht="9.75">
      <c r="A118" s="136"/>
      <c r="B118" s="157"/>
      <c r="C118" s="47" t="s">
        <v>80</v>
      </c>
      <c r="D118" s="76">
        <v>39000</v>
      </c>
      <c r="E118" s="76"/>
      <c r="F118" s="76"/>
      <c r="G118" s="76"/>
      <c r="H118" s="4">
        <f t="shared" si="12"/>
        <v>39000</v>
      </c>
      <c r="I118" s="76">
        <v>31400.04</v>
      </c>
      <c r="J118" s="76"/>
      <c r="K118" s="76"/>
      <c r="L118" s="76"/>
      <c r="M118" s="4">
        <f t="shared" si="13"/>
        <v>31400.04</v>
      </c>
      <c r="N118" s="67">
        <f t="shared" si="17"/>
        <v>0.8051292307692308</v>
      </c>
    </row>
    <row r="119" spans="1:14" s="5" customFormat="1" ht="12" customHeight="1">
      <c r="A119" s="53"/>
      <c r="B119" s="157"/>
      <c r="C119" s="47" t="s">
        <v>81</v>
      </c>
      <c r="D119" s="76">
        <v>4200</v>
      </c>
      <c r="E119" s="76"/>
      <c r="F119" s="76"/>
      <c r="G119" s="76"/>
      <c r="H119" s="4">
        <f t="shared" si="12"/>
        <v>4200</v>
      </c>
      <c r="I119" s="76">
        <v>3860</v>
      </c>
      <c r="J119" s="76"/>
      <c r="K119" s="76"/>
      <c r="L119" s="76"/>
      <c r="M119" s="4">
        <f t="shared" si="13"/>
        <v>3860</v>
      </c>
      <c r="N119" s="67">
        <f t="shared" si="17"/>
        <v>0.919047619047619</v>
      </c>
    </row>
    <row r="120" spans="1:14" s="5" customFormat="1" ht="12" customHeight="1">
      <c r="A120" s="53"/>
      <c r="B120" s="157"/>
      <c r="C120" s="47" t="s">
        <v>82</v>
      </c>
      <c r="D120" s="76">
        <f>2344500+300000</f>
        <v>2644500</v>
      </c>
      <c r="E120" s="76"/>
      <c r="F120" s="76"/>
      <c r="G120" s="76"/>
      <c r="H120" s="4">
        <f t="shared" si="12"/>
        <v>2644500</v>
      </c>
      <c r="I120" s="76">
        <v>1051818.65</v>
      </c>
      <c r="J120" s="76"/>
      <c r="K120" s="76"/>
      <c r="L120" s="76"/>
      <c r="M120" s="4">
        <f t="shared" si="13"/>
        <v>1051818.65</v>
      </c>
      <c r="N120" s="67">
        <f t="shared" si="17"/>
        <v>0.39773819247494796</v>
      </c>
    </row>
    <row r="121" spans="1:14" s="5" customFormat="1" ht="12" customHeight="1">
      <c r="A121" s="53"/>
      <c r="B121" s="157"/>
      <c r="C121" s="47" t="s">
        <v>85</v>
      </c>
      <c r="D121" s="76">
        <v>4000000</v>
      </c>
      <c r="E121" s="76"/>
      <c r="F121" s="76"/>
      <c r="G121" s="76"/>
      <c r="H121" s="4">
        <f t="shared" si="12"/>
        <v>4000000</v>
      </c>
      <c r="I121" s="76">
        <v>1708440.63</v>
      </c>
      <c r="J121" s="76"/>
      <c r="K121" s="76"/>
      <c r="L121" s="76"/>
      <c r="M121" s="4">
        <f t="shared" si="13"/>
        <v>1708440.63</v>
      </c>
      <c r="N121" s="67">
        <f t="shared" si="17"/>
        <v>0.4271101575</v>
      </c>
    </row>
    <row r="122" spans="1:14" s="5" customFormat="1" ht="11.25" customHeight="1">
      <c r="A122" s="53"/>
      <c r="B122" s="157"/>
      <c r="C122" s="47" t="s">
        <v>86</v>
      </c>
      <c r="D122" s="76">
        <v>800000</v>
      </c>
      <c r="E122" s="76"/>
      <c r="F122" s="76"/>
      <c r="G122" s="76"/>
      <c r="H122" s="4">
        <f t="shared" si="12"/>
        <v>800000</v>
      </c>
      <c r="I122" s="76">
        <v>308792.8</v>
      </c>
      <c r="J122" s="76"/>
      <c r="K122" s="76"/>
      <c r="L122" s="76"/>
      <c r="M122" s="4">
        <f t="shared" si="13"/>
        <v>308792.8</v>
      </c>
      <c r="N122" s="67">
        <f aca="true" t="shared" si="18" ref="N122:N131">M122/H122</f>
        <v>0.385991</v>
      </c>
    </row>
    <row r="123" spans="1:14" s="5" customFormat="1" ht="11.25" customHeight="1">
      <c r="A123" s="53"/>
      <c r="B123" s="157"/>
      <c r="C123" s="47" t="s">
        <v>87</v>
      </c>
      <c r="D123" s="76">
        <v>230000</v>
      </c>
      <c r="E123" s="76"/>
      <c r="F123" s="76"/>
      <c r="G123" s="76"/>
      <c r="H123" s="4">
        <f t="shared" si="12"/>
        <v>230000</v>
      </c>
      <c r="I123" s="76">
        <v>27579.21</v>
      </c>
      <c r="J123" s="76"/>
      <c r="K123" s="76"/>
      <c r="L123" s="76"/>
      <c r="M123" s="4">
        <f t="shared" si="13"/>
        <v>27579.21</v>
      </c>
      <c r="N123" s="67">
        <f t="shared" si="18"/>
        <v>0.11990960869565218</v>
      </c>
    </row>
    <row r="124" spans="1:14" s="5" customFormat="1" ht="11.25" customHeight="1">
      <c r="A124" s="53"/>
      <c r="B124" s="157"/>
      <c r="C124" s="47" t="s">
        <v>83</v>
      </c>
      <c r="D124" s="76">
        <v>33473900</v>
      </c>
      <c r="E124" s="76"/>
      <c r="F124" s="76"/>
      <c r="G124" s="76"/>
      <c r="H124" s="4">
        <f t="shared" si="12"/>
        <v>33473900</v>
      </c>
      <c r="I124" s="76">
        <v>8266562.62</v>
      </c>
      <c r="J124" s="76"/>
      <c r="K124" s="76"/>
      <c r="L124" s="76"/>
      <c r="M124" s="4">
        <f t="shared" si="13"/>
        <v>8266562.62</v>
      </c>
      <c r="N124" s="67">
        <f t="shared" si="18"/>
        <v>0.2469554673939995</v>
      </c>
    </row>
    <row r="125" spans="1:14" s="5" customFormat="1" ht="9" customHeight="1">
      <c r="A125" s="53"/>
      <c r="B125" s="157"/>
      <c r="C125" s="47" t="s">
        <v>84</v>
      </c>
      <c r="D125" s="76">
        <v>2000</v>
      </c>
      <c r="E125" s="76"/>
      <c r="F125" s="76"/>
      <c r="G125" s="76"/>
      <c r="H125" s="4">
        <f t="shared" si="12"/>
        <v>2000</v>
      </c>
      <c r="I125" s="76">
        <v>44.28</v>
      </c>
      <c r="J125" s="76"/>
      <c r="K125" s="76"/>
      <c r="L125" s="76"/>
      <c r="M125" s="4">
        <f t="shared" si="13"/>
        <v>44.28</v>
      </c>
      <c r="N125" s="67">
        <f t="shared" si="18"/>
        <v>0.02214</v>
      </c>
    </row>
    <row r="126" spans="1:14" s="5" customFormat="1" ht="18.75" customHeight="1">
      <c r="A126" s="53"/>
      <c r="B126" s="157"/>
      <c r="C126" s="48" t="s">
        <v>78</v>
      </c>
      <c r="D126" s="76">
        <v>300000</v>
      </c>
      <c r="E126" s="76"/>
      <c r="F126" s="76"/>
      <c r="G126" s="76"/>
      <c r="H126" s="4">
        <f t="shared" si="12"/>
        <v>300000</v>
      </c>
      <c r="I126" s="76">
        <v>196381.48</v>
      </c>
      <c r="J126" s="76"/>
      <c r="K126" s="76"/>
      <c r="L126" s="76"/>
      <c r="M126" s="4">
        <f t="shared" si="13"/>
        <v>196381.48</v>
      </c>
      <c r="N126" s="67">
        <f t="shared" si="18"/>
        <v>0.6546049333333334</v>
      </c>
    </row>
    <row r="127" spans="1:14" ht="10.5" customHeight="1">
      <c r="A127" s="52"/>
      <c r="B127" s="21" t="s">
        <v>128</v>
      </c>
      <c r="C127" s="18"/>
      <c r="D127" s="86">
        <f>SUM(D117:D126)</f>
        <v>59603000</v>
      </c>
      <c r="E127" s="86">
        <f>SUM(E117:E126)</f>
        <v>0</v>
      </c>
      <c r="F127" s="86">
        <f>SUM(F117:F126)</f>
        <v>0</v>
      </c>
      <c r="G127" s="86">
        <f>SUM(G117:G126)</f>
        <v>0</v>
      </c>
      <c r="H127" s="3">
        <f t="shared" si="12"/>
        <v>59603000</v>
      </c>
      <c r="I127" s="86">
        <f>SUM(I117:I126)</f>
        <v>22611170.560000002</v>
      </c>
      <c r="J127" s="86">
        <f>SUM(J117:J126)</f>
        <v>0</v>
      </c>
      <c r="K127" s="86">
        <f>SUM(K117:K126)</f>
        <v>0</v>
      </c>
      <c r="L127" s="86">
        <f>SUM(L117:L126)</f>
        <v>0</v>
      </c>
      <c r="M127" s="3">
        <f t="shared" si="13"/>
        <v>22611170.560000002</v>
      </c>
      <c r="N127" s="68">
        <f t="shared" si="18"/>
        <v>0.3793629609247857</v>
      </c>
    </row>
    <row r="128" spans="1:14" ht="12" customHeight="1">
      <c r="A128" s="52"/>
      <c r="B128" s="144" t="s">
        <v>62</v>
      </c>
      <c r="C128" s="9" t="s">
        <v>88</v>
      </c>
      <c r="D128" s="84">
        <v>4100000</v>
      </c>
      <c r="E128" s="84"/>
      <c r="F128" s="84"/>
      <c r="G128" s="84"/>
      <c r="H128" s="4">
        <f aca="true" t="shared" si="19" ref="H128:H137">SUM(D128:G128)</f>
        <v>4100000</v>
      </c>
      <c r="I128" s="84">
        <v>1837364.83</v>
      </c>
      <c r="J128" s="84"/>
      <c r="K128" s="84"/>
      <c r="L128" s="84"/>
      <c r="M128" s="4">
        <f aca="true" t="shared" si="20" ref="M128:M137">SUM(I128:L128)</f>
        <v>1837364.83</v>
      </c>
      <c r="N128" s="67">
        <f t="shared" si="18"/>
        <v>0.4481377634146342</v>
      </c>
    </row>
    <row r="129" spans="1:14" ht="10.5" customHeight="1">
      <c r="A129" s="52"/>
      <c r="B129" s="160"/>
      <c r="C129" s="10" t="s">
        <v>73</v>
      </c>
      <c r="D129" s="84"/>
      <c r="E129" s="84">
        <v>5314200</v>
      </c>
      <c r="F129" s="84"/>
      <c r="G129" s="84"/>
      <c r="H129" s="4">
        <f t="shared" si="19"/>
        <v>5314200</v>
      </c>
      <c r="I129" s="84"/>
      <c r="J129" s="84">
        <v>2382497.84</v>
      </c>
      <c r="K129" s="84"/>
      <c r="L129" s="84"/>
      <c r="M129" s="4">
        <f t="shared" si="20"/>
        <v>2382497.84</v>
      </c>
      <c r="N129" s="67">
        <f t="shared" si="18"/>
        <v>0.4483267170975876</v>
      </c>
    </row>
    <row r="130" spans="1:14" ht="9" customHeight="1">
      <c r="A130" s="52"/>
      <c r="B130" s="160"/>
      <c r="C130" s="10" t="s">
        <v>76</v>
      </c>
      <c r="D130" s="84">
        <v>5200000</v>
      </c>
      <c r="E130" s="84"/>
      <c r="F130" s="84"/>
      <c r="G130" s="84"/>
      <c r="H130" s="4">
        <f t="shared" si="19"/>
        <v>5200000</v>
      </c>
      <c r="I130" s="84">
        <v>4012546.22</v>
      </c>
      <c r="J130" s="84"/>
      <c r="K130" s="84"/>
      <c r="L130" s="84"/>
      <c r="M130" s="4">
        <f t="shared" si="20"/>
        <v>4012546.22</v>
      </c>
      <c r="N130" s="67">
        <f t="shared" si="18"/>
        <v>0.7716435038461539</v>
      </c>
    </row>
    <row r="131" spans="1:14" ht="28.5" customHeight="1">
      <c r="A131" s="52"/>
      <c r="B131" s="160"/>
      <c r="C131" s="46" t="s">
        <v>234</v>
      </c>
      <c r="D131" s="76">
        <v>100000</v>
      </c>
      <c r="E131" s="84"/>
      <c r="F131" s="84"/>
      <c r="G131" s="84"/>
      <c r="H131" s="4">
        <f t="shared" si="19"/>
        <v>100000</v>
      </c>
      <c r="I131" s="76"/>
      <c r="J131" s="84"/>
      <c r="K131" s="84"/>
      <c r="L131" s="84"/>
      <c r="M131" s="4">
        <f t="shared" si="20"/>
        <v>0</v>
      </c>
      <c r="N131" s="67">
        <f t="shared" si="18"/>
        <v>0</v>
      </c>
    </row>
    <row r="132" spans="1:14" ht="9.75" customHeight="1">
      <c r="A132" s="52"/>
      <c r="B132" s="160"/>
      <c r="C132" s="10" t="s">
        <v>64</v>
      </c>
      <c r="D132" s="84"/>
      <c r="E132" s="84"/>
      <c r="F132" s="84"/>
      <c r="G132" s="84"/>
      <c r="H132" s="4">
        <f t="shared" si="19"/>
        <v>0</v>
      </c>
      <c r="I132" s="84">
        <v>45</v>
      </c>
      <c r="J132" s="84"/>
      <c r="K132" s="84"/>
      <c r="L132" s="84"/>
      <c r="M132" s="4">
        <f t="shared" si="20"/>
        <v>45</v>
      </c>
      <c r="N132" s="67"/>
    </row>
    <row r="133" spans="1:14" ht="19.5" customHeight="1">
      <c r="A133" s="52"/>
      <c r="B133" s="145"/>
      <c r="C133" s="12" t="s">
        <v>78</v>
      </c>
      <c r="D133" s="84"/>
      <c r="E133" s="84"/>
      <c r="F133" s="84"/>
      <c r="G133" s="84"/>
      <c r="H133" s="4">
        <f t="shared" si="19"/>
        <v>0</v>
      </c>
      <c r="I133" s="84">
        <v>4905.83</v>
      </c>
      <c r="J133" s="84"/>
      <c r="K133" s="84"/>
      <c r="L133" s="84"/>
      <c r="M133" s="4">
        <f t="shared" si="20"/>
        <v>4905.83</v>
      </c>
      <c r="N133" s="67"/>
    </row>
    <row r="134" spans="1:14" ht="10.5" customHeight="1">
      <c r="A134" s="52"/>
      <c r="B134" s="21" t="s">
        <v>129</v>
      </c>
      <c r="C134" s="18"/>
      <c r="D134" s="86">
        <f>SUM(D128:D133)</f>
        <v>9400000</v>
      </c>
      <c r="E134" s="86">
        <f>SUM(E128:E133)</f>
        <v>5314200</v>
      </c>
      <c r="F134" s="86">
        <f>SUM(F128:F133)</f>
        <v>0</v>
      </c>
      <c r="G134" s="86">
        <f>SUM(G128:G133)</f>
        <v>0</v>
      </c>
      <c r="H134" s="3">
        <f t="shared" si="19"/>
        <v>14714200</v>
      </c>
      <c r="I134" s="86">
        <f>SUM(I128:I133)</f>
        <v>5854861.880000001</v>
      </c>
      <c r="J134" s="86">
        <f>SUM(J128:J133)</f>
        <v>2382497.84</v>
      </c>
      <c r="K134" s="86">
        <f>SUM(K128:K133)</f>
        <v>0</v>
      </c>
      <c r="L134" s="86">
        <f>SUM(L128:L133)</f>
        <v>0</v>
      </c>
      <c r="M134" s="3">
        <f t="shared" si="20"/>
        <v>8237359.720000001</v>
      </c>
      <c r="N134" s="68">
        <f aca="true" t="shared" si="21" ref="N134:N144">M134/H134</f>
        <v>0.5598238246048036</v>
      </c>
    </row>
    <row r="135" spans="1:14" s="5" customFormat="1" ht="12.75" customHeight="1">
      <c r="A135" s="53"/>
      <c r="B135" s="132" t="s">
        <v>29</v>
      </c>
      <c r="C135" s="46" t="s">
        <v>89</v>
      </c>
      <c r="D135" s="76">
        <v>242056727</v>
      </c>
      <c r="E135" s="76"/>
      <c r="F135" s="76"/>
      <c r="G135" s="76"/>
      <c r="H135" s="4">
        <f t="shared" si="19"/>
        <v>242056727</v>
      </c>
      <c r="I135" s="76">
        <v>97661408</v>
      </c>
      <c r="J135" s="76"/>
      <c r="K135" s="76"/>
      <c r="L135" s="76"/>
      <c r="M135" s="4">
        <f t="shared" si="20"/>
        <v>97661408</v>
      </c>
      <c r="N135" s="67">
        <f t="shared" si="21"/>
        <v>0.40346496133528237</v>
      </c>
    </row>
    <row r="136" spans="1:14" s="5" customFormat="1" ht="15" customHeight="1">
      <c r="A136" s="53"/>
      <c r="B136" s="133"/>
      <c r="C136" s="48" t="s">
        <v>90</v>
      </c>
      <c r="D136" s="76">
        <v>23900000</v>
      </c>
      <c r="E136" s="76"/>
      <c r="F136" s="76"/>
      <c r="G136" s="76"/>
      <c r="H136" s="4">
        <f t="shared" si="19"/>
        <v>23900000</v>
      </c>
      <c r="I136" s="76">
        <v>8893763.44</v>
      </c>
      <c r="J136" s="76"/>
      <c r="K136" s="76"/>
      <c r="L136" s="76"/>
      <c r="M136" s="4">
        <f t="shared" si="20"/>
        <v>8893763.44</v>
      </c>
      <c r="N136" s="67">
        <f t="shared" si="21"/>
        <v>0.3721239933054393</v>
      </c>
    </row>
    <row r="137" spans="1:14" ht="12" customHeight="1">
      <c r="A137" s="52"/>
      <c r="B137" s="21" t="s">
        <v>130</v>
      </c>
      <c r="C137" s="18"/>
      <c r="D137" s="86">
        <f>SUM(D135:D136)</f>
        <v>265956727</v>
      </c>
      <c r="E137" s="86">
        <f>SUM(E135:E136)</f>
        <v>0</v>
      </c>
      <c r="F137" s="86">
        <f>SUM(F135:F136)</f>
        <v>0</v>
      </c>
      <c r="G137" s="86">
        <f>SUM(G135:G136)</f>
        <v>0</v>
      </c>
      <c r="H137" s="3">
        <f t="shared" si="19"/>
        <v>265956727</v>
      </c>
      <c r="I137" s="86">
        <f>SUM(I135:I136)</f>
        <v>106555171.44</v>
      </c>
      <c r="J137" s="86">
        <f>SUM(J135:J136)</f>
        <v>0</v>
      </c>
      <c r="K137" s="86">
        <f>SUM(K135:K136)</f>
        <v>0</v>
      </c>
      <c r="L137" s="86">
        <f>SUM(L135:L136)</f>
        <v>0</v>
      </c>
      <c r="M137" s="3">
        <f t="shared" si="20"/>
        <v>106555171.44</v>
      </c>
      <c r="N137" s="68">
        <f t="shared" si="21"/>
        <v>0.40064852896163067</v>
      </c>
    </row>
    <row r="138" spans="1:14" ht="14.25" customHeight="1">
      <c r="A138" s="52"/>
      <c r="B138" s="128" t="s">
        <v>30</v>
      </c>
      <c r="C138" s="9" t="s">
        <v>89</v>
      </c>
      <c r="D138" s="84"/>
      <c r="E138" s="84">
        <v>67567578</v>
      </c>
      <c r="F138" s="84"/>
      <c r="G138" s="84"/>
      <c r="H138" s="4">
        <f>SUM(E138:G138)</f>
        <v>67567578</v>
      </c>
      <c r="I138" s="84"/>
      <c r="J138" s="84">
        <v>27261143</v>
      </c>
      <c r="K138" s="84"/>
      <c r="L138" s="84"/>
      <c r="M138" s="4">
        <f>SUM(J138:L138)</f>
        <v>27261143</v>
      </c>
      <c r="N138" s="67">
        <f t="shared" si="21"/>
        <v>0.4034648541050265</v>
      </c>
    </row>
    <row r="139" spans="1:14" s="5" customFormat="1" ht="14.25" customHeight="1">
      <c r="A139" s="53"/>
      <c r="B139" s="129"/>
      <c r="C139" s="48" t="s">
        <v>90</v>
      </c>
      <c r="D139" s="76"/>
      <c r="E139" s="76">
        <v>5100000</v>
      </c>
      <c r="F139" s="76"/>
      <c r="G139" s="76"/>
      <c r="H139" s="4">
        <f>SUM(E139:G139)</f>
        <v>5100000</v>
      </c>
      <c r="I139" s="76"/>
      <c r="J139" s="76">
        <v>1845408.82</v>
      </c>
      <c r="K139" s="76"/>
      <c r="L139" s="76"/>
      <c r="M139" s="4">
        <f>SUM(J139:L139)</f>
        <v>1845408.82</v>
      </c>
      <c r="N139" s="67">
        <f t="shared" si="21"/>
        <v>0.36184486666666665</v>
      </c>
    </row>
    <row r="140" spans="1:14" ht="9.75">
      <c r="A140" s="52"/>
      <c r="B140" s="25" t="s">
        <v>131</v>
      </c>
      <c r="C140" s="22"/>
      <c r="D140" s="86">
        <f>SUM(D138:D139)</f>
        <v>0</v>
      </c>
      <c r="E140" s="86">
        <f>SUM(E138:E139)</f>
        <v>72667578</v>
      </c>
      <c r="F140" s="86">
        <f>SUM(F138:F139)</f>
        <v>0</v>
      </c>
      <c r="G140" s="86">
        <f>SUM(G138:G139)</f>
        <v>0</v>
      </c>
      <c r="H140" s="3">
        <f aca="true" t="shared" si="22" ref="H140:H158">SUM(D140:G140)</f>
        <v>72667578</v>
      </c>
      <c r="I140" s="86">
        <f>SUM(I138:I139)</f>
        <v>0</v>
      </c>
      <c r="J140" s="86">
        <f>SUM(J138:J139)</f>
        <v>29106551.82</v>
      </c>
      <c r="K140" s="86">
        <f>SUM(K138:K139)</f>
        <v>0</v>
      </c>
      <c r="L140" s="86">
        <f>SUM(L138:L139)</f>
        <v>0</v>
      </c>
      <c r="M140" s="3">
        <f aca="true" t="shared" si="23" ref="M140:M158">SUM(I140:L140)</f>
        <v>29106551.82</v>
      </c>
      <c r="N140" s="68">
        <f t="shared" si="21"/>
        <v>0.40054385492248</v>
      </c>
    </row>
    <row r="141" spans="1:14" ht="12" customHeight="1">
      <c r="A141" s="16" t="s">
        <v>132</v>
      </c>
      <c r="B141" s="26"/>
      <c r="C141" s="14"/>
      <c r="D141" s="87">
        <f>SUM(D140,D137,D134,D127,D116,D108)</f>
        <v>434228427</v>
      </c>
      <c r="E141" s="87">
        <f>SUM(E140,E137,E134,E127,E116,E108)</f>
        <v>77981778</v>
      </c>
      <c r="F141" s="87">
        <f>SUM(F140,F137,F134,F127,F116,F108)</f>
        <v>0</v>
      </c>
      <c r="G141" s="87">
        <f>SUM(G140,G137,G134,G127,G116,G108)</f>
        <v>0</v>
      </c>
      <c r="H141" s="15">
        <f t="shared" si="22"/>
        <v>512210205</v>
      </c>
      <c r="I141" s="87">
        <f>SUM(I140,I137,I134,I127,I116,I108)</f>
        <v>187667620.26999998</v>
      </c>
      <c r="J141" s="87">
        <f>SUM(J140,J137,J134,J127,J116,J108)</f>
        <v>31489049.66</v>
      </c>
      <c r="K141" s="87">
        <f>SUM(K140,K137,K134,K127,K116,K108)</f>
        <v>0</v>
      </c>
      <c r="L141" s="87">
        <f>SUM(L140,L137,L134,L127,L116,L108)</f>
        <v>0</v>
      </c>
      <c r="M141" s="15">
        <f t="shared" si="23"/>
        <v>219156669.92999998</v>
      </c>
      <c r="N141" s="69">
        <f t="shared" si="21"/>
        <v>0.4278647082597661</v>
      </c>
    </row>
    <row r="142" spans="1:14" ht="38.25" customHeight="1">
      <c r="A142" s="45" t="s">
        <v>31</v>
      </c>
      <c r="B142" s="13" t="s">
        <v>32</v>
      </c>
      <c r="C142" s="17" t="s">
        <v>133</v>
      </c>
      <c r="D142" s="84">
        <f>80587643+9035839</f>
        <v>89623482</v>
      </c>
      <c r="E142" s="84">
        <f>95772194-11836037</f>
        <v>83936157</v>
      </c>
      <c r="F142" s="84"/>
      <c r="G142" s="84"/>
      <c r="H142" s="4">
        <f t="shared" si="22"/>
        <v>173559639</v>
      </c>
      <c r="I142" s="84">
        <v>55348162</v>
      </c>
      <c r="J142" s="84">
        <v>51779516</v>
      </c>
      <c r="K142" s="84"/>
      <c r="L142" s="84"/>
      <c r="M142" s="4">
        <f t="shared" si="23"/>
        <v>107127678</v>
      </c>
      <c r="N142" s="67">
        <f t="shared" si="21"/>
        <v>0.6172384237328358</v>
      </c>
    </row>
    <row r="143" spans="1:14" ht="10.5" customHeight="1">
      <c r="A143" s="52"/>
      <c r="B143" s="21" t="s">
        <v>134</v>
      </c>
      <c r="C143" s="18"/>
      <c r="D143" s="86">
        <f>SUM(D142)</f>
        <v>89623482</v>
      </c>
      <c r="E143" s="86">
        <f>SUM(E142)</f>
        <v>83936157</v>
      </c>
      <c r="F143" s="86">
        <f>SUM(F142)</f>
        <v>0</v>
      </c>
      <c r="G143" s="86">
        <f>SUM(G142)</f>
        <v>0</v>
      </c>
      <c r="H143" s="3">
        <f t="shared" si="22"/>
        <v>173559639</v>
      </c>
      <c r="I143" s="86">
        <f>SUM(I142)</f>
        <v>55348162</v>
      </c>
      <c r="J143" s="86">
        <f>SUM(J142)</f>
        <v>51779516</v>
      </c>
      <c r="K143" s="86">
        <f>SUM(K142)</f>
        <v>0</v>
      </c>
      <c r="L143" s="86">
        <f>SUM(L142)</f>
        <v>0</v>
      </c>
      <c r="M143" s="3">
        <f t="shared" si="23"/>
        <v>107127678</v>
      </c>
      <c r="N143" s="68">
        <f t="shared" si="21"/>
        <v>0.6172384237328358</v>
      </c>
    </row>
    <row r="144" spans="1:14" ht="13.5" customHeight="1">
      <c r="A144" s="52"/>
      <c r="B144" s="128" t="s">
        <v>33</v>
      </c>
      <c r="C144" s="10" t="s">
        <v>65</v>
      </c>
      <c r="D144" s="76">
        <v>3000000</v>
      </c>
      <c r="E144" s="84"/>
      <c r="F144" s="84"/>
      <c r="G144" s="84"/>
      <c r="H144" s="4">
        <f t="shared" si="22"/>
        <v>3000000</v>
      </c>
      <c r="I144" s="76">
        <v>969667.63</v>
      </c>
      <c r="J144" s="84"/>
      <c r="K144" s="84"/>
      <c r="L144" s="84"/>
      <c r="M144" s="4">
        <f t="shared" si="23"/>
        <v>969667.63</v>
      </c>
      <c r="N144" s="67">
        <f t="shared" si="21"/>
        <v>0.32322254333333333</v>
      </c>
    </row>
    <row r="145" spans="1:14" ht="12.75" customHeight="1">
      <c r="A145" s="52"/>
      <c r="B145" s="130"/>
      <c r="C145" s="10" t="s">
        <v>244</v>
      </c>
      <c r="D145" s="84"/>
      <c r="E145" s="84"/>
      <c r="F145" s="84"/>
      <c r="G145" s="84"/>
      <c r="H145" s="4">
        <f t="shared" si="22"/>
        <v>0</v>
      </c>
      <c r="I145" s="84">
        <v>1366.91</v>
      </c>
      <c r="J145" s="84"/>
      <c r="K145" s="84"/>
      <c r="L145" s="84"/>
      <c r="M145" s="4">
        <f t="shared" si="23"/>
        <v>1366.91</v>
      </c>
      <c r="N145" s="67"/>
    </row>
    <row r="146" spans="1:14" ht="9.75">
      <c r="A146" s="52"/>
      <c r="B146" s="21" t="s">
        <v>135</v>
      </c>
      <c r="C146" s="18"/>
      <c r="D146" s="86">
        <f>SUM(D144:D145)</f>
        <v>3000000</v>
      </c>
      <c r="E146" s="86">
        <f>SUM(E144:E145)</f>
        <v>0</v>
      </c>
      <c r="F146" s="86">
        <f>SUM(F144:F145)</f>
        <v>0</v>
      </c>
      <c r="G146" s="86">
        <f>SUM(G144:G145)</f>
        <v>0</v>
      </c>
      <c r="H146" s="3">
        <f t="shared" si="22"/>
        <v>3000000</v>
      </c>
      <c r="I146" s="86">
        <f>SUM(I144:I145)</f>
        <v>971034.54</v>
      </c>
      <c r="J146" s="86">
        <f>SUM(J144:J145)</f>
        <v>0</v>
      </c>
      <c r="K146" s="86">
        <f>SUM(K144:K145)</f>
        <v>0</v>
      </c>
      <c r="L146" s="86">
        <f>SUM(L144:L145)</f>
        <v>0</v>
      </c>
      <c r="M146" s="3">
        <f t="shared" si="23"/>
        <v>971034.54</v>
      </c>
      <c r="N146" s="68">
        <f aca="true" t="shared" si="24" ref="N146:N151">M146/H146</f>
        <v>0.32367818000000004</v>
      </c>
    </row>
    <row r="147" spans="1:14" ht="19.5" customHeight="1">
      <c r="A147" s="52"/>
      <c r="B147" s="12" t="s">
        <v>177</v>
      </c>
      <c r="C147" s="55" t="s">
        <v>179</v>
      </c>
      <c r="D147" s="84"/>
      <c r="E147" s="84"/>
      <c r="F147" s="84"/>
      <c r="G147" s="84"/>
      <c r="H147" s="4">
        <f t="shared" si="22"/>
        <v>0</v>
      </c>
      <c r="I147" s="84">
        <v>253.78</v>
      </c>
      <c r="J147" s="84"/>
      <c r="K147" s="84"/>
      <c r="L147" s="84"/>
      <c r="M147" s="4">
        <f t="shared" si="23"/>
        <v>253.78</v>
      </c>
      <c r="N147" s="67"/>
    </row>
    <row r="148" spans="1:14" ht="9" customHeight="1">
      <c r="A148" s="52"/>
      <c r="B148" s="21" t="s">
        <v>178</v>
      </c>
      <c r="C148" s="18"/>
      <c r="D148" s="86">
        <f>SUM(D147:D147)</f>
        <v>0</v>
      </c>
      <c r="E148" s="86">
        <f>SUM(E147:E147)</f>
        <v>0</v>
      </c>
      <c r="F148" s="86">
        <f>SUM(F147:F147)</f>
        <v>0</v>
      </c>
      <c r="G148" s="86">
        <f>SUM(G147:G147)</f>
        <v>0</v>
      </c>
      <c r="H148" s="3">
        <f t="shared" si="22"/>
        <v>0</v>
      </c>
      <c r="I148" s="86">
        <f>SUM(I147:I147)</f>
        <v>253.78</v>
      </c>
      <c r="J148" s="86">
        <f>SUM(J147:J147)</f>
        <v>0</v>
      </c>
      <c r="K148" s="86">
        <f>SUM(K147:K147)</f>
        <v>0</v>
      </c>
      <c r="L148" s="86">
        <f>SUM(L147:L147)</f>
        <v>0</v>
      </c>
      <c r="M148" s="3">
        <f t="shared" si="23"/>
        <v>253.78</v>
      </c>
      <c r="N148" s="68"/>
    </row>
    <row r="149" spans="1:14" ht="28.5" customHeight="1">
      <c r="A149" s="52"/>
      <c r="B149" s="10" t="s">
        <v>136</v>
      </c>
      <c r="C149" s="17" t="s">
        <v>133</v>
      </c>
      <c r="D149" s="84"/>
      <c r="E149" s="84">
        <f>8015783-3478</f>
        <v>8012305</v>
      </c>
      <c r="F149" s="84"/>
      <c r="G149" s="84"/>
      <c r="H149" s="4">
        <f t="shared" si="22"/>
        <v>8012305</v>
      </c>
      <c r="I149" s="84"/>
      <c r="J149" s="84">
        <v>4006152</v>
      </c>
      <c r="K149" s="84"/>
      <c r="L149" s="84"/>
      <c r="M149" s="4">
        <f t="shared" si="23"/>
        <v>4006152</v>
      </c>
      <c r="N149" s="67">
        <f t="shared" si="24"/>
        <v>0.49999993759598516</v>
      </c>
    </row>
    <row r="150" spans="1:14" ht="9.75">
      <c r="A150" s="52"/>
      <c r="B150" s="25" t="s">
        <v>137</v>
      </c>
      <c r="C150" s="22"/>
      <c r="D150" s="86">
        <f>SUM(D149:D149)</f>
        <v>0</v>
      </c>
      <c r="E150" s="86">
        <f>SUM(E149:E149)</f>
        <v>8012305</v>
      </c>
      <c r="F150" s="86">
        <f>SUM(F149:F149)</f>
        <v>0</v>
      </c>
      <c r="G150" s="86">
        <f>SUM(G149:G149)</f>
        <v>0</v>
      </c>
      <c r="H150" s="3">
        <f t="shared" si="22"/>
        <v>8012305</v>
      </c>
      <c r="I150" s="86">
        <f>SUM(I149:I149)</f>
        <v>0</v>
      </c>
      <c r="J150" s="86">
        <f>SUM(J149:J149)</f>
        <v>4006152</v>
      </c>
      <c r="K150" s="86">
        <f>SUM(K149:K149)</f>
        <v>0</v>
      </c>
      <c r="L150" s="86">
        <f>SUM(L149:L149)</f>
        <v>0</v>
      </c>
      <c r="M150" s="3">
        <f t="shared" si="23"/>
        <v>4006152</v>
      </c>
      <c r="N150" s="68">
        <f t="shared" si="24"/>
        <v>0.49999993759598516</v>
      </c>
    </row>
    <row r="151" spans="1:14" ht="11.25">
      <c r="A151" s="23" t="s">
        <v>34</v>
      </c>
      <c r="B151" s="24"/>
      <c r="C151" s="14"/>
      <c r="D151" s="87">
        <f>SUM(D150,D148,D143,D146)</f>
        <v>92623482</v>
      </c>
      <c r="E151" s="87">
        <f>SUM(E150,E148,E143,E146)</f>
        <v>91948462</v>
      </c>
      <c r="F151" s="87">
        <f aca="true" t="shared" si="25" ref="F151:M151">SUM(F150,F148,F143,F146)</f>
        <v>0</v>
      </c>
      <c r="G151" s="87">
        <f t="shared" si="25"/>
        <v>0</v>
      </c>
      <c r="H151" s="87">
        <f t="shared" si="25"/>
        <v>184571944</v>
      </c>
      <c r="I151" s="87">
        <f t="shared" si="25"/>
        <v>56319450.32</v>
      </c>
      <c r="J151" s="87">
        <f t="shared" si="25"/>
        <v>55785668</v>
      </c>
      <c r="K151" s="87">
        <f t="shared" si="25"/>
        <v>0</v>
      </c>
      <c r="L151" s="87">
        <f t="shared" si="25"/>
        <v>0</v>
      </c>
      <c r="M151" s="87">
        <f t="shared" si="25"/>
        <v>112105118.32000001</v>
      </c>
      <c r="N151" s="69">
        <f t="shared" si="24"/>
        <v>0.6073789758642841</v>
      </c>
    </row>
    <row r="152" spans="1:14" s="5" customFormat="1" ht="19.5">
      <c r="A152" s="138" t="s">
        <v>35</v>
      </c>
      <c r="B152" s="128" t="s">
        <v>36</v>
      </c>
      <c r="C152" s="33" t="s">
        <v>213</v>
      </c>
      <c r="D152" s="88"/>
      <c r="E152" s="88"/>
      <c r="F152" s="88"/>
      <c r="G152" s="88"/>
      <c r="H152" s="4">
        <f t="shared" si="22"/>
        <v>0</v>
      </c>
      <c r="I152" s="84">
        <v>1599.36</v>
      </c>
      <c r="J152" s="88"/>
      <c r="K152" s="88"/>
      <c r="L152" s="88"/>
      <c r="M152" s="4">
        <f t="shared" si="23"/>
        <v>1599.36</v>
      </c>
      <c r="N152" s="67"/>
    </row>
    <row r="153" spans="1:14" ht="39.75" customHeight="1">
      <c r="A153" s="140"/>
      <c r="B153" s="129"/>
      <c r="C153" s="10" t="s">
        <v>94</v>
      </c>
      <c r="D153" s="84">
        <v>102586</v>
      </c>
      <c r="E153" s="84"/>
      <c r="F153" s="84"/>
      <c r="G153" s="84"/>
      <c r="H153" s="4">
        <f t="shared" si="22"/>
        <v>102586</v>
      </c>
      <c r="I153" s="84">
        <v>43336.22</v>
      </c>
      <c r="J153" s="84"/>
      <c r="K153" s="84"/>
      <c r="L153" s="84"/>
      <c r="M153" s="4">
        <f t="shared" si="23"/>
        <v>43336.22</v>
      </c>
      <c r="N153" s="67">
        <f aca="true" t="shared" si="26" ref="N153:N158">M153/H153</f>
        <v>0.42243795449671495</v>
      </c>
    </row>
    <row r="154" spans="1:14" ht="10.5" customHeight="1">
      <c r="A154" s="140"/>
      <c r="B154" s="129"/>
      <c r="C154" s="10" t="s">
        <v>171</v>
      </c>
      <c r="D154" s="84">
        <v>94000</v>
      </c>
      <c r="E154" s="84"/>
      <c r="F154" s="84"/>
      <c r="G154" s="84"/>
      <c r="H154" s="4">
        <f t="shared" si="22"/>
        <v>94000</v>
      </c>
      <c r="I154" s="84">
        <v>28921.12</v>
      </c>
      <c r="J154" s="84"/>
      <c r="K154" s="84"/>
      <c r="L154" s="84"/>
      <c r="M154" s="4">
        <f t="shared" si="23"/>
        <v>28921.12</v>
      </c>
      <c r="N154" s="67">
        <f t="shared" si="26"/>
        <v>0.30767148936170213</v>
      </c>
    </row>
    <row r="155" spans="1:14" ht="9" customHeight="1">
      <c r="A155" s="140"/>
      <c r="B155" s="129"/>
      <c r="C155" s="10" t="s">
        <v>65</v>
      </c>
      <c r="D155" s="84"/>
      <c r="E155" s="84"/>
      <c r="F155" s="84"/>
      <c r="G155" s="84"/>
      <c r="H155" s="4">
        <f t="shared" si="22"/>
        <v>0</v>
      </c>
      <c r="I155" s="84">
        <v>129.84</v>
      </c>
      <c r="J155" s="84"/>
      <c r="K155" s="84"/>
      <c r="L155" s="84"/>
      <c r="M155" s="4">
        <f t="shared" si="23"/>
        <v>129.84</v>
      </c>
      <c r="N155" s="67"/>
    </row>
    <row r="156" spans="1:14" ht="10.5" customHeight="1">
      <c r="A156" s="140"/>
      <c r="B156" s="129"/>
      <c r="C156" s="10" t="s">
        <v>244</v>
      </c>
      <c r="D156" s="84"/>
      <c r="E156" s="84"/>
      <c r="F156" s="84"/>
      <c r="G156" s="84"/>
      <c r="H156" s="4">
        <f t="shared" si="22"/>
        <v>0</v>
      </c>
      <c r="I156" s="84">
        <v>844.82</v>
      </c>
      <c r="J156" s="84"/>
      <c r="K156" s="84"/>
      <c r="L156" s="84"/>
      <c r="M156" s="4">
        <f t="shared" si="23"/>
        <v>844.82</v>
      </c>
      <c r="N156" s="67"/>
    </row>
    <row r="157" spans="1:14" ht="11.25" customHeight="1">
      <c r="A157" s="43"/>
      <c r="B157" s="129"/>
      <c r="C157" s="10" t="s">
        <v>67</v>
      </c>
      <c r="D157" s="84"/>
      <c r="E157" s="84"/>
      <c r="F157" s="84"/>
      <c r="G157" s="84"/>
      <c r="H157" s="4">
        <f t="shared" si="22"/>
        <v>0</v>
      </c>
      <c r="I157" s="84">
        <v>2084.51</v>
      </c>
      <c r="J157" s="84"/>
      <c r="K157" s="84"/>
      <c r="L157" s="84"/>
      <c r="M157" s="4">
        <f t="shared" si="23"/>
        <v>2084.51</v>
      </c>
      <c r="N157" s="67"/>
    </row>
    <row r="158" spans="1:14" ht="18.75" customHeight="1">
      <c r="A158" s="43"/>
      <c r="B158" s="129"/>
      <c r="C158" s="10" t="s">
        <v>214</v>
      </c>
      <c r="D158" s="84">
        <v>74692</v>
      </c>
      <c r="E158" s="84"/>
      <c r="F158" s="84"/>
      <c r="G158" s="84"/>
      <c r="H158" s="4">
        <f t="shared" si="22"/>
        <v>74692</v>
      </c>
      <c r="I158" s="84">
        <v>46743</v>
      </c>
      <c r="J158" s="84"/>
      <c r="K158" s="84"/>
      <c r="L158" s="84"/>
      <c r="M158" s="4">
        <f t="shared" si="23"/>
        <v>46743</v>
      </c>
      <c r="N158" s="67">
        <f t="shared" si="26"/>
        <v>0.6258099930380764</v>
      </c>
    </row>
    <row r="159" spans="1:14" ht="30" customHeight="1">
      <c r="A159" s="43"/>
      <c r="B159" s="129"/>
      <c r="C159" s="10" t="s">
        <v>243</v>
      </c>
      <c r="D159" s="84"/>
      <c r="E159" s="84"/>
      <c r="F159" s="84"/>
      <c r="G159" s="84"/>
      <c r="H159" s="4">
        <f aca="true" t="shared" si="27" ref="H159:H176">SUM(D159:G159)</f>
        <v>0</v>
      </c>
      <c r="I159" s="84">
        <v>501.7</v>
      </c>
      <c r="J159" s="84"/>
      <c r="K159" s="84"/>
      <c r="L159" s="84"/>
      <c r="M159" s="4">
        <f aca="true" t="shared" si="28" ref="M159:M176">SUM(I159:L159)</f>
        <v>501.7</v>
      </c>
      <c r="N159" s="67"/>
    </row>
    <row r="160" spans="1:14" ht="9.75">
      <c r="A160" s="52"/>
      <c r="B160" s="21" t="s">
        <v>138</v>
      </c>
      <c r="C160" s="18"/>
      <c r="D160" s="86">
        <f>SUM(D152:D159)</f>
        <v>271278</v>
      </c>
      <c r="E160" s="86">
        <f>SUM(E152:E159)</f>
        <v>0</v>
      </c>
      <c r="F160" s="86">
        <f>SUM(F152:F159)</f>
        <v>0</v>
      </c>
      <c r="G160" s="86">
        <f>SUM(G152:G159)</f>
        <v>0</v>
      </c>
      <c r="H160" s="3">
        <f t="shared" si="27"/>
        <v>271278</v>
      </c>
      <c r="I160" s="86">
        <f>SUM(I152:I159)</f>
        <v>124160.56999999999</v>
      </c>
      <c r="J160" s="86">
        <f>SUM(J152:J159)</f>
        <v>0</v>
      </c>
      <c r="K160" s="86">
        <f>SUM(K152:K159)</f>
        <v>0</v>
      </c>
      <c r="L160" s="86">
        <f>SUM(L152:L159)</f>
        <v>0</v>
      </c>
      <c r="M160" s="3">
        <f t="shared" si="28"/>
        <v>124160.56999999999</v>
      </c>
      <c r="N160" s="68">
        <f>M160/H160</f>
        <v>0.45768757510745434</v>
      </c>
    </row>
    <row r="161" spans="1:14" ht="48" customHeight="1">
      <c r="A161" s="52"/>
      <c r="B161" s="128" t="s">
        <v>37</v>
      </c>
      <c r="C161" s="10" t="s">
        <v>94</v>
      </c>
      <c r="D161" s="84"/>
      <c r="E161" s="84"/>
      <c r="F161" s="84"/>
      <c r="G161" s="84"/>
      <c r="H161" s="4">
        <f t="shared" si="27"/>
        <v>0</v>
      </c>
      <c r="I161" s="84"/>
      <c r="J161" s="84">
        <v>417</v>
      </c>
      <c r="K161" s="84"/>
      <c r="L161" s="84"/>
      <c r="M161" s="4">
        <f t="shared" si="28"/>
        <v>417</v>
      </c>
      <c r="N161" s="67"/>
    </row>
    <row r="162" spans="1:14" ht="11.25" customHeight="1">
      <c r="A162" s="52"/>
      <c r="B162" s="129"/>
      <c r="C162" s="10" t="s">
        <v>65</v>
      </c>
      <c r="D162" s="84"/>
      <c r="E162" s="84"/>
      <c r="F162" s="84"/>
      <c r="G162" s="84"/>
      <c r="H162" s="4">
        <f t="shared" si="27"/>
        <v>0</v>
      </c>
      <c r="I162" s="84"/>
      <c r="J162" s="84">
        <v>439.21</v>
      </c>
      <c r="K162" s="84"/>
      <c r="L162" s="84"/>
      <c r="M162" s="4">
        <f t="shared" si="28"/>
        <v>439.21</v>
      </c>
      <c r="N162" s="67"/>
    </row>
    <row r="163" spans="1:14" ht="9.75">
      <c r="A163" s="52"/>
      <c r="B163" s="130"/>
      <c r="C163" s="10" t="s">
        <v>176</v>
      </c>
      <c r="D163" s="84"/>
      <c r="E163" s="84"/>
      <c r="F163" s="84"/>
      <c r="G163" s="84"/>
      <c r="H163" s="4">
        <f t="shared" si="27"/>
        <v>0</v>
      </c>
      <c r="I163" s="84"/>
      <c r="J163" s="84"/>
      <c r="K163" s="84"/>
      <c r="L163" s="84"/>
      <c r="M163" s="4">
        <f t="shared" si="28"/>
        <v>0</v>
      </c>
      <c r="N163" s="67"/>
    </row>
    <row r="164" spans="1:14" ht="9.75">
      <c r="A164" s="52"/>
      <c r="B164" s="21" t="s">
        <v>139</v>
      </c>
      <c r="C164" s="18"/>
      <c r="D164" s="86">
        <f>SUM(D161:D163)</f>
        <v>0</v>
      </c>
      <c r="E164" s="86">
        <f>SUM(E161:E163)</f>
        <v>0</v>
      </c>
      <c r="F164" s="86">
        <f>SUM(F161:F163)</f>
        <v>0</v>
      </c>
      <c r="G164" s="86">
        <f>SUM(G161:G163)</f>
        <v>0</v>
      </c>
      <c r="H164" s="3">
        <f t="shared" si="27"/>
        <v>0</v>
      </c>
      <c r="I164" s="86">
        <f>SUM(I161:I163)</f>
        <v>0</v>
      </c>
      <c r="J164" s="86">
        <f>SUM(J161:J163)</f>
        <v>856.21</v>
      </c>
      <c r="K164" s="86">
        <f>SUM(K161:K163)</f>
        <v>0</v>
      </c>
      <c r="L164" s="86">
        <f>SUM(L161:L163)</f>
        <v>0</v>
      </c>
      <c r="M164" s="3">
        <f t="shared" si="28"/>
        <v>856.21</v>
      </c>
      <c r="N164" s="68"/>
    </row>
    <row r="165" spans="1:14" ht="39" customHeight="1">
      <c r="A165" s="52"/>
      <c r="B165" s="12" t="s">
        <v>273</v>
      </c>
      <c r="C165" s="12" t="s">
        <v>203</v>
      </c>
      <c r="D165" s="84"/>
      <c r="E165" s="84"/>
      <c r="F165" s="84"/>
      <c r="G165" s="84"/>
      <c r="H165" s="4">
        <f t="shared" si="27"/>
        <v>0</v>
      </c>
      <c r="I165" s="84">
        <v>212</v>
      </c>
      <c r="J165" s="84"/>
      <c r="K165" s="84"/>
      <c r="L165" s="84"/>
      <c r="M165" s="4">
        <f t="shared" si="28"/>
        <v>212</v>
      </c>
      <c r="N165" s="67"/>
    </row>
    <row r="166" spans="1:14" ht="9.75">
      <c r="A166" s="52"/>
      <c r="B166" s="21" t="s">
        <v>274</v>
      </c>
      <c r="C166" s="18"/>
      <c r="D166" s="86">
        <f>SUM(D165:D165)</f>
        <v>0</v>
      </c>
      <c r="E166" s="86">
        <f>SUM(E165:E165)</f>
        <v>0</v>
      </c>
      <c r="F166" s="86">
        <f>SUM(F165:F165)</f>
        <v>0</v>
      </c>
      <c r="G166" s="86">
        <f>SUM(G165:G165)</f>
        <v>0</v>
      </c>
      <c r="H166" s="3">
        <f t="shared" si="27"/>
        <v>0</v>
      </c>
      <c r="I166" s="86">
        <f>SUM(I165:I165)</f>
        <v>212</v>
      </c>
      <c r="J166" s="86">
        <f>SUM(J165:J165)</f>
        <v>0</v>
      </c>
      <c r="K166" s="86">
        <f>SUM(K165:K165)</f>
        <v>0</v>
      </c>
      <c r="L166" s="86">
        <f>SUM(L165:L165)</f>
        <v>0</v>
      </c>
      <c r="M166" s="3">
        <f t="shared" si="28"/>
        <v>212</v>
      </c>
      <c r="N166" s="68"/>
    </row>
    <row r="167" spans="1:14" ht="47.25" customHeight="1">
      <c r="A167" s="52"/>
      <c r="B167" s="12" t="s">
        <v>180</v>
      </c>
      <c r="C167" s="10" t="s">
        <v>94</v>
      </c>
      <c r="D167" s="84"/>
      <c r="E167" s="84"/>
      <c r="F167" s="84"/>
      <c r="G167" s="84"/>
      <c r="H167" s="4">
        <f t="shared" si="27"/>
        <v>0</v>
      </c>
      <c r="I167" s="84">
        <v>54560.77</v>
      </c>
      <c r="J167" s="84"/>
      <c r="K167" s="84"/>
      <c r="L167" s="84"/>
      <c r="M167" s="4">
        <f t="shared" si="28"/>
        <v>54560.77</v>
      </c>
      <c r="N167" s="67"/>
    </row>
    <row r="168" spans="1:14" ht="9.75" customHeight="1">
      <c r="A168" s="52"/>
      <c r="B168" s="17"/>
      <c r="C168" s="10" t="s">
        <v>65</v>
      </c>
      <c r="D168" s="84"/>
      <c r="E168" s="84"/>
      <c r="F168" s="84"/>
      <c r="G168" s="84"/>
      <c r="H168" s="4">
        <f t="shared" si="27"/>
        <v>0</v>
      </c>
      <c r="I168" s="84">
        <v>14.48</v>
      </c>
      <c r="J168" s="84"/>
      <c r="K168" s="84"/>
      <c r="L168" s="84"/>
      <c r="M168" s="4">
        <f t="shared" si="28"/>
        <v>14.48</v>
      </c>
      <c r="N168" s="67"/>
    </row>
    <row r="169" spans="1:14" ht="30.75" customHeight="1">
      <c r="A169" s="52"/>
      <c r="B169" s="12"/>
      <c r="C169" s="10" t="s">
        <v>203</v>
      </c>
      <c r="D169" s="84">
        <v>52000</v>
      </c>
      <c r="E169" s="84"/>
      <c r="F169" s="84"/>
      <c r="G169" s="84"/>
      <c r="H169" s="4">
        <f t="shared" si="27"/>
        <v>52000</v>
      </c>
      <c r="I169" s="84"/>
      <c r="J169" s="84"/>
      <c r="K169" s="84"/>
      <c r="L169" s="84"/>
      <c r="M169" s="4">
        <f t="shared" si="28"/>
        <v>0</v>
      </c>
      <c r="N169" s="67">
        <f>M169/H169</f>
        <v>0</v>
      </c>
    </row>
    <row r="170" spans="1:14" ht="30" customHeight="1">
      <c r="A170" s="52"/>
      <c r="B170" s="9"/>
      <c r="C170" s="10" t="s">
        <v>186</v>
      </c>
      <c r="D170" s="84"/>
      <c r="E170" s="84"/>
      <c r="F170" s="84"/>
      <c r="G170" s="84"/>
      <c r="H170" s="4">
        <f t="shared" si="27"/>
        <v>0</v>
      </c>
      <c r="I170" s="84">
        <v>805.32</v>
      </c>
      <c r="J170" s="84"/>
      <c r="K170" s="84"/>
      <c r="L170" s="84"/>
      <c r="M170" s="4">
        <f t="shared" si="28"/>
        <v>805.32</v>
      </c>
      <c r="N170" s="67"/>
    </row>
    <row r="171" spans="1:14" ht="9.75" customHeight="1">
      <c r="A171" s="52"/>
      <c r="B171" s="21" t="s">
        <v>181</v>
      </c>
      <c r="C171" s="18"/>
      <c r="D171" s="86">
        <f>SUM(D167:D170)</f>
        <v>52000</v>
      </c>
      <c r="E171" s="86">
        <f>SUM(E167:E170)</f>
        <v>0</v>
      </c>
      <c r="F171" s="86">
        <f>SUM(F167:F170)</f>
        <v>0</v>
      </c>
      <c r="G171" s="86">
        <f>SUM(G167:G170)</f>
        <v>0</v>
      </c>
      <c r="H171" s="3">
        <f t="shared" si="27"/>
        <v>52000</v>
      </c>
      <c r="I171" s="86">
        <f>SUM(I167:I170)</f>
        <v>55380.57</v>
      </c>
      <c r="J171" s="86">
        <f>SUM(J167:J170)</f>
        <v>0</v>
      </c>
      <c r="K171" s="86">
        <f>SUM(K167:K170)</f>
        <v>0</v>
      </c>
      <c r="L171" s="86">
        <f>SUM(L167:L170)</f>
        <v>0</v>
      </c>
      <c r="M171" s="3">
        <f t="shared" si="28"/>
        <v>55380.57</v>
      </c>
      <c r="N171" s="68">
        <f>M171/H171</f>
        <v>1.0650109615384615</v>
      </c>
    </row>
    <row r="172" spans="1:14" ht="48" customHeight="1">
      <c r="A172" s="52"/>
      <c r="B172" s="128" t="s">
        <v>38</v>
      </c>
      <c r="C172" s="17" t="s">
        <v>94</v>
      </c>
      <c r="D172" s="84"/>
      <c r="E172" s="84"/>
      <c r="F172" s="84"/>
      <c r="G172" s="84"/>
      <c r="H172" s="4">
        <f t="shared" si="27"/>
        <v>0</v>
      </c>
      <c r="I172" s="84">
        <v>200</v>
      </c>
      <c r="J172" s="84"/>
      <c r="K172" s="84"/>
      <c r="L172" s="84"/>
      <c r="M172" s="4">
        <f t="shared" si="28"/>
        <v>200</v>
      </c>
      <c r="N172" s="67"/>
    </row>
    <row r="173" spans="1:14" ht="10.5" customHeight="1">
      <c r="A173" s="52"/>
      <c r="B173" s="129"/>
      <c r="C173" s="10" t="s">
        <v>254</v>
      </c>
      <c r="D173" s="84">
        <v>57</v>
      </c>
      <c r="E173" s="84"/>
      <c r="F173" s="84"/>
      <c r="G173" s="84"/>
      <c r="H173" s="4">
        <f t="shared" si="27"/>
        <v>57</v>
      </c>
      <c r="I173" s="84">
        <v>1421.98</v>
      </c>
      <c r="J173" s="84"/>
      <c r="K173" s="84"/>
      <c r="L173" s="84"/>
      <c r="M173" s="4">
        <f t="shared" si="28"/>
        <v>1421.98</v>
      </c>
      <c r="N173" s="67">
        <f>M173/H173</f>
        <v>24.947017543859648</v>
      </c>
    </row>
    <row r="174" spans="1:14" ht="9.75" customHeight="1">
      <c r="A174" s="52"/>
      <c r="B174" s="129"/>
      <c r="C174" s="10" t="s">
        <v>67</v>
      </c>
      <c r="D174" s="84"/>
      <c r="E174" s="84"/>
      <c r="F174" s="84"/>
      <c r="G174" s="84"/>
      <c r="H174" s="4">
        <f t="shared" si="27"/>
        <v>0</v>
      </c>
      <c r="I174" s="84">
        <v>29.06</v>
      </c>
      <c r="J174" s="84"/>
      <c r="K174" s="84"/>
      <c r="L174" s="84"/>
      <c r="M174" s="4">
        <f t="shared" si="28"/>
        <v>29.06</v>
      </c>
      <c r="N174" s="67"/>
    </row>
    <row r="175" spans="1:14" ht="31.5" customHeight="1">
      <c r="A175" s="52"/>
      <c r="B175" s="129"/>
      <c r="C175" s="10" t="s">
        <v>214</v>
      </c>
      <c r="D175" s="84">
        <v>84012</v>
      </c>
      <c r="E175" s="84"/>
      <c r="F175" s="84"/>
      <c r="G175" s="84"/>
      <c r="H175" s="4">
        <f t="shared" si="27"/>
        <v>84012</v>
      </c>
      <c r="I175" s="84">
        <v>52604</v>
      </c>
      <c r="J175" s="84"/>
      <c r="K175" s="84"/>
      <c r="L175" s="84"/>
      <c r="M175" s="4">
        <f t="shared" si="28"/>
        <v>52604</v>
      </c>
      <c r="N175" s="67">
        <f>M175/H175</f>
        <v>0.626148645431605</v>
      </c>
    </row>
    <row r="176" spans="1:14" ht="41.25" customHeight="1">
      <c r="A176" s="52"/>
      <c r="B176" s="130"/>
      <c r="C176" s="10" t="s">
        <v>243</v>
      </c>
      <c r="D176" s="84">
        <v>11414</v>
      </c>
      <c r="E176" s="84"/>
      <c r="F176" s="84"/>
      <c r="G176" s="84"/>
      <c r="H176" s="4">
        <f t="shared" si="27"/>
        <v>11414</v>
      </c>
      <c r="I176" s="84">
        <v>941.15</v>
      </c>
      <c r="J176" s="84"/>
      <c r="K176" s="84"/>
      <c r="L176" s="84"/>
      <c r="M176" s="4">
        <f t="shared" si="28"/>
        <v>941.15</v>
      </c>
      <c r="N176" s="67">
        <f>M176/H176</f>
        <v>0.0824557560890135</v>
      </c>
    </row>
    <row r="177" spans="1:14" ht="9" customHeight="1">
      <c r="A177" s="52"/>
      <c r="B177" s="21" t="s">
        <v>140</v>
      </c>
      <c r="C177" s="18"/>
      <c r="D177" s="86">
        <f>SUM(D172:D176)</f>
        <v>95483</v>
      </c>
      <c r="E177" s="86">
        <f>SUM(E172:E176)</f>
        <v>0</v>
      </c>
      <c r="F177" s="86">
        <f>SUM(F172:F176)</f>
        <v>0</v>
      </c>
      <c r="G177" s="86">
        <f>SUM(G172:G176)</f>
        <v>0</v>
      </c>
      <c r="H177" s="3">
        <f>SUM(D177:G177)</f>
        <v>95483</v>
      </c>
      <c r="I177" s="86">
        <f>SUM(I172:I176)</f>
        <v>55196.19</v>
      </c>
      <c r="J177" s="86">
        <f>SUM(J172:J176)</f>
        <v>0</v>
      </c>
      <c r="K177" s="86">
        <f>SUM(K172:K176)</f>
        <v>0</v>
      </c>
      <c r="L177" s="86">
        <f>SUM(L172:L176)</f>
        <v>0</v>
      </c>
      <c r="M177" s="3">
        <f>SUM(I177:L177)</f>
        <v>55196.19</v>
      </c>
      <c r="N177" s="68">
        <f>M177/H177</f>
        <v>0.5780734790486265</v>
      </c>
    </row>
    <row r="178" spans="1:14" ht="48.75" customHeight="1">
      <c r="A178" s="52"/>
      <c r="B178" s="128" t="s">
        <v>39</v>
      </c>
      <c r="C178" s="10" t="s">
        <v>94</v>
      </c>
      <c r="D178" s="84"/>
      <c r="E178" s="84">
        <v>11800</v>
      </c>
      <c r="F178" s="84"/>
      <c r="G178" s="84"/>
      <c r="H178" s="4">
        <f>SUM(D178:G178)</f>
        <v>11800</v>
      </c>
      <c r="I178" s="84"/>
      <c r="J178" s="84">
        <v>6290.17</v>
      </c>
      <c r="K178" s="84"/>
      <c r="L178" s="84"/>
      <c r="M178" s="4">
        <f>SUM(I178:L178)</f>
        <v>6290.17</v>
      </c>
      <c r="N178" s="67">
        <f>M178/H178</f>
        <v>0.5330652542372881</v>
      </c>
    </row>
    <row r="179" spans="1:14" ht="9" customHeight="1">
      <c r="A179" s="52"/>
      <c r="B179" s="129"/>
      <c r="C179" s="10" t="s">
        <v>65</v>
      </c>
      <c r="D179" s="84"/>
      <c r="E179" s="84"/>
      <c r="F179" s="84"/>
      <c r="G179" s="84"/>
      <c r="H179" s="4">
        <f>SUM(D179:G179)</f>
        <v>0</v>
      </c>
      <c r="I179" s="84">
        <v>4.67</v>
      </c>
      <c r="J179" s="84"/>
      <c r="K179" s="84"/>
      <c r="L179" s="84"/>
      <c r="M179" s="4">
        <f>SUM(I179:L179)</f>
        <v>4.67</v>
      </c>
      <c r="N179" s="67"/>
    </row>
    <row r="180" spans="1:14" ht="9.75">
      <c r="A180" s="52"/>
      <c r="B180" s="129"/>
      <c r="C180" s="10" t="s">
        <v>244</v>
      </c>
      <c r="D180" s="84"/>
      <c r="E180" s="84"/>
      <c r="F180" s="84"/>
      <c r="G180" s="84"/>
      <c r="H180" s="4">
        <f>SUM(D180:G180)</f>
        <v>0</v>
      </c>
      <c r="I180" s="84"/>
      <c r="J180" s="84">
        <v>273.58</v>
      </c>
      <c r="K180" s="84"/>
      <c r="L180" s="84"/>
      <c r="M180" s="4">
        <f>SUM(I180:L180)</f>
        <v>273.58</v>
      </c>
      <c r="N180" s="67"/>
    </row>
    <row r="181" spans="1:14" ht="9" customHeight="1">
      <c r="A181" s="52"/>
      <c r="B181" s="129"/>
      <c r="C181" s="10" t="s">
        <v>67</v>
      </c>
      <c r="D181" s="84"/>
      <c r="E181" s="84"/>
      <c r="F181" s="84"/>
      <c r="G181" s="84"/>
      <c r="H181" s="4">
        <f>SUM(D181:G181)</f>
        <v>0</v>
      </c>
      <c r="I181" s="84"/>
      <c r="J181" s="84">
        <v>1749.43</v>
      </c>
      <c r="K181" s="84"/>
      <c r="L181" s="84"/>
      <c r="M181" s="4">
        <f>SUM(I181:L181)</f>
        <v>1749.43</v>
      </c>
      <c r="N181" s="67"/>
    </row>
    <row r="182" spans="1:14" ht="30.75" customHeight="1">
      <c r="A182" s="52"/>
      <c r="B182" s="129"/>
      <c r="C182" s="10" t="s">
        <v>214</v>
      </c>
      <c r="E182" s="84">
        <v>75296</v>
      </c>
      <c r="F182" s="84"/>
      <c r="G182" s="84"/>
      <c r="H182" s="4">
        <f>SUM(E182:G182)</f>
        <v>75296</v>
      </c>
      <c r="I182" s="89"/>
      <c r="J182" s="84">
        <v>47183</v>
      </c>
      <c r="K182" s="84"/>
      <c r="L182" s="84"/>
      <c r="M182" s="4">
        <f>SUM(J182:L182)</f>
        <v>47183</v>
      </c>
      <c r="N182" s="67">
        <f>M182/H182</f>
        <v>0.6266335529111772</v>
      </c>
    </row>
    <row r="183" spans="1:14" ht="39.75" customHeight="1">
      <c r="A183" s="52"/>
      <c r="B183" s="130"/>
      <c r="C183" s="10" t="s">
        <v>243</v>
      </c>
      <c r="D183" s="84"/>
      <c r="E183" s="84">
        <v>11276</v>
      </c>
      <c r="F183" s="84"/>
      <c r="G183" s="84"/>
      <c r="H183" s="4">
        <f>SUM(D183:F183)</f>
        <v>11276</v>
      </c>
      <c r="I183" s="84"/>
      <c r="J183" s="84">
        <v>623.44</v>
      </c>
      <c r="K183" s="84"/>
      <c r="L183" s="84"/>
      <c r="M183" s="4">
        <f>SUM(I183:K183)</f>
        <v>623.44</v>
      </c>
      <c r="N183" s="67">
        <f>M183/H183</f>
        <v>0.05528910961333807</v>
      </c>
    </row>
    <row r="184" spans="1:14" ht="9.75" customHeight="1">
      <c r="A184" s="52"/>
      <c r="B184" s="21" t="s">
        <v>141</v>
      </c>
      <c r="C184" s="18"/>
      <c r="D184" s="86">
        <f>SUM(D178:D183)</f>
        <v>0</v>
      </c>
      <c r="E184" s="86">
        <f>SUM(E178:E183)</f>
        <v>98372</v>
      </c>
      <c r="F184" s="86">
        <f>SUM(F178:F183)</f>
        <v>0</v>
      </c>
      <c r="G184" s="86">
        <f>SUM(G178:G183)</f>
        <v>0</v>
      </c>
      <c r="H184" s="3">
        <f aca="true" t="shared" si="29" ref="H184:H189">SUM(D184:G184)</f>
        <v>98372</v>
      </c>
      <c r="I184" s="86">
        <f>SUM(I178:I183)</f>
        <v>4.67</v>
      </c>
      <c r="J184" s="86">
        <f>SUM(J178:J183)</f>
        <v>56119.62</v>
      </c>
      <c r="K184" s="86">
        <f>SUM(K178:K183)</f>
        <v>0</v>
      </c>
      <c r="L184" s="86">
        <f>SUM(L178:L183)</f>
        <v>0</v>
      </c>
      <c r="M184" s="3">
        <f aca="true" t="shared" si="30" ref="M184:M189">SUM(I184:L184)</f>
        <v>56124.29</v>
      </c>
      <c r="N184" s="68">
        <f>M184/H184</f>
        <v>0.5705311470743708</v>
      </c>
    </row>
    <row r="185" spans="1:14" ht="47.25" customHeight="1">
      <c r="A185" s="52"/>
      <c r="B185" s="12" t="s">
        <v>142</v>
      </c>
      <c r="C185" s="17" t="s">
        <v>94</v>
      </c>
      <c r="D185" s="76"/>
      <c r="E185" s="84">
        <v>3640</v>
      </c>
      <c r="F185" s="84"/>
      <c r="G185" s="84"/>
      <c r="H185" s="4">
        <f t="shared" si="29"/>
        <v>3640</v>
      </c>
      <c r="I185" s="76"/>
      <c r="J185" s="84">
        <v>3542.44</v>
      </c>
      <c r="K185" s="84"/>
      <c r="L185" s="84"/>
      <c r="M185" s="4">
        <f t="shared" si="30"/>
        <v>3542.44</v>
      </c>
      <c r="N185" s="67">
        <f>M185/H185</f>
        <v>0.9731978021978022</v>
      </c>
    </row>
    <row r="186" spans="1:14" ht="11.25" customHeight="1">
      <c r="A186" s="52"/>
      <c r="B186" s="17"/>
      <c r="C186" s="10" t="s">
        <v>145</v>
      </c>
      <c r="D186" s="84"/>
      <c r="E186" s="84">
        <v>5176</v>
      </c>
      <c r="F186" s="84"/>
      <c r="G186" s="84"/>
      <c r="H186" s="4">
        <f t="shared" si="29"/>
        <v>5176</v>
      </c>
      <c r="I186" s="84"/>
      <c r="J186" s="84">
        <v>5176</v>
      </c>
      <c r="K186" s="84"/>
      <c r="L186" s="84"/>
      <c r="M186" s="4">
        <f t="shared" si="30"/>
        <v>5176</v>
      </c>
      <c r="N186" s="67">
        <f>M186/H186</f>
        <v>1</v>
      </c>
    </row>
    <row r="187" spans="1:14" ht="9.75">
      <c r="A187" s="52"/>
      <c r="B187" s="17"/>
      <c r="C187" s="10" t="s">
        <v>65</v>
      </c>
      <c r="D187" s="84"/>
      <c r="E187" s="84"/>
      <c r="F187" s="84"/>
      <c r="G187" s="84"/>
      <c r="H187" s="4">
        <f t="shared" si="29"/>
        <v>0</v>
      </c>
      <c r="I187" s="84">
        <v>33.5</v>
      </c>
      <c r="J187" s="84"/>
      <c r="K187" s="84"/>
      <c r="L187" s="84"/>
      <c r="M187" s="4">
        <f t="shared" si="30"/>
        <v>33.5</v>
      </c>
      <c r="N187" s="67"/>
    </row>
    <row r="188" spans="1:14" ht="9.75">
      <c r="A188" s="52"/>
      <c r="B188" s="17"/>
      <c r="C188" s="10" t="s">
        <v>244</v>
      </c>
      <c r="D188" s="84"/>
      <c r="E188" s="84"/>
      <c r="F188" s="84"/>
      <c r="G188" s="84"/>
      <c r="H188" s="4">
        <f t="shared" si="29"/>
        <v>0</v>
      </c>
      <c r="I188" s="84"/>
      <c r="J188" s="84">
        <v>115.25</v>
      </c>
      <c r="K188" s="84"/>
      <c r="L188" s="84"/>
      <c r="M188" s="4">
        <f t="shared" si="30"/>
        <v>115.25</v>
      </c>
      <c r="N188" s="67"/>
    </row>
    <row r="189" spans="1:14" ht="9.75" customHeight="1">
      <c r="A189" s="52"/>
      <c r="B189" s="17"/>
      <c r="C189" s="10" t="s">
        <v>67</v>
      </c>
      <c r="D189" s="84"/>
      <c r="E189" s="84"/>
      <c r="F189" s="84"/>
      <c r="G189" s="84"/>
      <c r="H189" s="4">
        <f t="shared" si="29"/>
        <v>0</v>
      </c>
      <c r="I189" s="84"/>
      <c r="J189" s="84">
        <v>4986.69</v>
      </c>
      <c r="K189" s="84"/>
      <c r="L189" s="84"/>
      <c r="M189" s="4">
        <f t="shared" si="30"/>
        <v>4986.69</v>
      </c>
      <c r="N189" s="67"/>
    </row>
    <row r="190" spans="1:14" ht="39" customHeight="1">
      <c r="A190" s="52"/>
      <c r="B190" s="9"/>
      <c r="C190" s="10" t="s">
        <v>243</v>
      </c>
      <c r="D190" s="84"/>
      <c r="E190" s="84">
        <v>11423</v>
      </c>
      <c r="F190" s="84"/>
      <c r="H190" s="4">
        <f>SUM(D190:F190)</f>
        <v>11423</v>
      </c>
      <c r="I190" s="84"/>
      <c r="J190" s="84"/>
      <c r="K190" s="84"/>
      <c r="L190" s="89"/>
      <c r="M190" s="4">
        <f>SUM(I190:K190)</f>
        <v>0</v>
      </c>
      <c r="N190" s="67">
        <f>M190/H190</f>
        <v>0</v>
      </c>
    </row>
    <row r="191" spans="1:14" ht="11.25" customHeight="1">
      <c r="A191" s="52"/>
      <c r="B191" s="21" t="s">
        <v>143</v>
      </c>
      <c r="C191" s="18"/>
      <c r="D191" s="86">
        <f>SUM(D185:D190)</f>
        <v>0</v>
      </c>
      <c r="E191" s="86">
        <f>SUM(E185:E190)</f>
        <v>20239</v>
      </c>
      <c r="F191" s="86">
        <f>SUM(F185:F190)</f>
        <v>0</v>
      </c>
      <c r="G191" s="86">
        <f>SUM(G185:G190)</f>
        <v>0</v>
      </c>
      <c r="H191" s="3">
        <f aca="true" t="shared" si="31" ref="H191:H225">SUM(D191:G191)</f>
        <v>20239</v>
      </c>
      <c r="I191" s="86">
        <f>SUM(I185:I190)</f>
        <v>33.5</v>
      </c>
      <c r="J191" s="86">
        <f>SUM(J185:J190)</f>
        <v>13820.380000000001</v>
      </c>
      <c r="K191" s="86">
        <f>SUM(K185:K190)</f>
        <v>0</v>
      </c>
      <c r="L191" s="86">
        <f>SUM(L185:L190)</f>
        <v>0</v>
      </c>
      <c r="M191" s="3">
        <f aca="true" t="shared" si="32" ref="M191:M225">SUM(I191:L191)</f>
        <v>13853.880000000001</v>
      </c>
      <c r="N191" s="68">
        <f>M191/H191</f>
        <v>0.6845140570186274</v>
      </c>
    </row>
    <row r="192" spans="1:14" ht="19.5" customHeight="1">
      <c r="A192" s="52"/>
      <c r="B192" s="12" t="s">
        <v>40</v>
      </c>
      <c r="C192" s="10" t="s">
        <v>67</v>
      </c>
      <c r="D192" s="84"/>
      <c r="E192" s="84"/>
      <c r="F192" s="84"/>
      <c r="G192" s="84"/>
      <c r="H192" s="4">
        <f t="shared" si="31"/>
        <v>0</v>
      </c>
      <c r="I192" s="84"/>
      <c r="J192" s="84">
        <v>293</v>
      </c>
      <c r="K192" s="84"/>
      <c r="L192" s="84"/>
      <c r="M192" s="4">
        <f t="shared" si="32"/>
        <v>293</v>
      </c>
      <c r="N192" s="67"/>
    </row>
    <row r="193" spans="1:14" ht="9.75" customHeight="1">
      <c r="A193" s="52"/>
      <c r="B193" s="21" t="s">
        <v>144</v>
      </c>
      <c r="C193" s="18"/>
      <c r="D193" s="86">
        <f>SUM(D192:D192)</f>
        <v>0</v>
      </c>
      <c r="E193" s="86">
        <f>SUM(E192:E192)</f>
        <v>0</v>
      </c>
      <c r="F193" s="86">
        <f>SUM(F192:F192)</f>
        <v>0</v>
      </c>
      <c r="G193" s="86">
        <f>SUM(G192:G192)</f>
        <v>0</v>
      </c>
      <c r="H193" s="3">
        <f t="shared" si="31"/>
        <v>0</v>
      </c>
      <c r="I193" s="86">
        <f>SUM(I192:I192)</f>
        <v>0</v>
      </c>
      <c r="J193" s="86">
        <f>SUM(J192:J192)</f>
        <v>293</v>
      </c>
      <c r="K193" s="86">
        <f>SUM(K192:K192)</f>
        <v>0</v>
      </c>
      <c r="L193" s="86">
        <f>SUM(L192:L192)</f>
        <v>0</v>
      </c>
      <c r="M193" s="3">
        <f t="shared" si="32"/>
        <v>293</v>
      </c>
      <c r="N193" s="68"/>
    </row>
    <row r="194" spans="1:14" ht="20.25" customHeight="1">
      <c r="A194" s="52"/>
      <c r="B194" s="13" t="s">
        <v>182</v>
      </c>
      <c r="C194" s="10" t="s">
        <v>67</v>
      </c>
      <c r="D194" s="84"/>
      <c r="E194" s="84"/>
      <c r="F194" s="84"/>
      <c r="G194" s="84"/>
      <c r="H194" s="4">
        <f t="shared" si="31"/>
        <v>0</v>
      </c>
      <c r="I194" s="84">
        <v>315.66</v>
      </c>
      <c r="J194" s="84"/>
      <c r="K194" s="84"/>
      <c r="L194" s="84"/>
      <c r="M194" s="4">
        <f t="shared" si="32"/>
        <v>315.66</v>
      </c>
      <c r="N194" s="67"/>
    </row>
    <row r="195" spans="1:14" ht="9" customHeight="1">
      <c r="A195" s="52"/>
      <c r="B195" s="21" t="s">
        <v>183</v>
      </c>
      <c r="C195" s="18"/>
      <c r="D195" s="86">
        <f>SUM(D194)</f>
        <v>0</v>
      </c>
      <c r="E195" s="86">
        <f>SUM(E194)</f>
        <v>0</v>
      </c>
      <c r="F195" s="86">
        <f>SUM(F194)</f>
        <v>0</v>
      </c>
      <c r="G195" s="86">
        <f>SUM(G194)</f>
        <v>0</v>
      </c>
      <c r="H195" s="3">
        <f t="shared" si="31"/>
        <v>0</v>
      </c>
      <c r="I195" s="86">
        <f>SUM(I194)</f>
        <v>315.66</v>
      </c>
      <c r="J195" s="86">
        <f>SUM(J194)</f>
        <v>0</v>
      </c>
      <c r="K195" s="86">
        <f>SUM(K194)</f>
        <v>0</v>
      </c>
      <c r="L195" s="86">
        <f>SUM(L194)</f>
        <v>0</v>
      </c>
      <c r="M195" s="3">
        <f t="shared" si="32"/>
        <v>315.66</v>
      </c>
      <c r="N195" s="68"/>
    </row>
    <row r="196" spans="1:14" s="5" customFormat="1" ht="29.25" customHeight="1">
      <c r="A196" s="53"/>
      <c r="B196" s="48" t="s">
        <v>184</v>
      </c>
      <c r="C196" s="10" t="s">
        <v>91</v>
      </c>
      <c r="D196" s="76">
        <f>112635-102534</f>
        <v>10101</v>
      </c>
      <c r="E196" s="85"/>
      <c r="F196" s="85"/>
      <c r="G196" s="85"/>
      <c r="H196" s="4">
        <f t="shared" si="31"/>
        <v>10101</v>
      </c>
      <c r="I196" s="76">
        <v>10101</v>
      </c>
      <c r="J196" s="85"/>
      <c r="K196" s="85"/>
      <c r="L196" s="85"/>
      <c r="M196" s="4">
        <f t="shared" si="32"/>
        <v>10101</v>
      </c>
      <c r="N196" s="67">
        <f>M196/H196</f>
        <v>1</v>
      </c>
    </row>
    <row r="197" spans="1:14" s="5" customFormat="1" ht="39" customHeight="1">
      <c r="A197" s="53"/>
      <c r="B197" s="75"/>
      <c r="C197" s="10" t="s">
        <v>265</v>
      </c>
      <c r="D197" s="76">
        <v>6858</v>
      </c>
      <c r="E197" s="85"/>
      <c r="F197" s="85"/>
      <c r="G197" s="85"/>
      <c r="H197" s="4">
        <f t="shared" si="31"/>
        <v>6858</v>
      </c>
      <c r="I197" s="76">
        <v>6858.21</v>
      </c>
      <c r="J197" s="85"/>
      <c r="K197" s="85"/>
      <c r="L197" s="85"/>
      <c r="M197" s="4">
        <f t="shared" si="32"/>
        <v>6858.21</v>
      </c>
      <c r="N197" s="67">
        <f>M197/H197</f>
        <v>1.0000306211723535</v>
      </c>
    </row>
    <row r="198" spans="1:14" s="5" customFormat="1" ht="28.5" customHeight="1">
      <c r="A198" s="53"/>
      <c r="B198" s="46"/>
      <c r="C198" s="10" t="s">
        <v>186</v>
      </c>
      <c r="D198" s="76"/>
      <c r="E198" s="85"/>
      <c r="F198" s="85"/>
      <c r="G198" s="85"/>
      <c r="H198" s="4">
        <f t="shared" si="31"/>
        <v>0</v>
      </c>
      <c r="I198" s="76">
        <v>1870</v>
      </c>
      <c r="J198" s="85"/>
      <c r="K198" s="85"/>
      <c r="L198" s="85"/>
      <c r="M198" s="4">
        <f t="shared" si="32"/>
        <v>1870</v>
      </c>
      <c r="N198" s="67"/>
    </row>
    <row r="199" spans="1:14" ht="9.75">
      <c r="A199" s="52"/>
      <c r="B199" s="21" t="s">
        <v>185</v>
      </c>
      <c r="C199" s="18"/>
      <c r="D199" s="86">
        <f>SUM(D196:D198)</f>
        <v>16959</v>
      </c>
      <c r="E199" s="86">
        <f>SUM(E196:E198)</f>
        <v>0</v>
      </c>
      <c r="F199" s="86">
        <f>SUM(F196:F198)</f>
        <v>0</v>
      </c>
      <c r="G199" s="86">
        <f>SUM(G196:G198)</f>
        <v>0</v>
      </c>
      <c r="H199" s="3">
        <f t="shared" si="31"/>
        <v>16959</v>
      </c>
      <c r="I199" s="86">
        <f>SUM(I196:I198)</f>
        <v>18829.21</v>
      </c>
      <c r="J199" s="86">
        <f>SUM(J196:J198)</f>
        <v>0</v>
      </c>
      <c r="K199" s="86">
        <f>SUM(K196:K198)</f>
        <v>0</v>
      </c>
      <c r="L199" s="86">
        <f>SUM(L196:L198)</f>
        <v>0</v>
      </c>
      <c r="M199" s="3">
        <f t="shared" si="32"/>
        <v>18829.21</v>
      </c>
      <c r="N199" s="68">
        <f>M199/H199</f>
        <v>1.1102783182970692</v>
      </c>
    </row>
    <row r="200" spans="1:14" ht="20.25" customHeight="1">
      <c r="A200" s="52"/>
      <c r="B200" s="13" t="s">
        <v>239</v>
      </c>
      <c r="C200" s="10" t="s">
        <v>238</v>
      </c>
      <c r="D200" s="84"/>
      <c r="E200" s="84"/>
      <c r="F200" s="84"/>
      <c r="G200" s="84"/>
      <c r="H200" s="4">
        <f t="shared" si="31"/>
        <v>0</v>
      </c>
      <c r="I200" s="84">
        <v>17386.93</v>
      </c>
      <c r="J200" s="84"/>
      <c r="K200" s="84"/>
      <c r="L200" s="84"/>
      <c r="M200" s="4">
        <f t="shared" si="32"/>
        <v>17386.93</v>
      </c>
      <c r="N200" s="67"/>
    </row>
    <row r="201" spans="1:14" ht="9.75" customHeight="1">
      <c r="A201" s="52"/>
      <c r="B201" s="21" t="s">
        <v>240</v>
      </c>
      <c r="C201" s="18"/>
      <c r="D201" s="86">
        <f>SUM(D200)</f>
        <v>0</v>
      </c>
      <c r="E201" s="86">
        <f>SUM(E200)</f>
        <v>0</v>
      </c>
      <c r="F201" s="86">
        <f>SUM(F200)</f>
        <v>0</v>
      </c>
      <c r="G201" s="86">
        <f>SUM(G200)</f>
        <v>0</v>
      </c>
      <c r="H201" s="3">
        <f t="shared" si="31"/>
        <v>0</v>
      </c>
      <c r="I201" s="86">
        <f>SUM(I200)</f>
        <v>17386.93</v>
      </c>
      <c r="J201" s="86">
        <f>SUM(J200)</f>
        <v>0</v>
      </c>
      <c r="K201" s="86">
        <f>SUM(K200)</f>
        <v>0</v>
      </c>
      <c r="L201" s="86">
        <f>SUM(L200)</f>
        <v>0</v>
      </c>
      <c r="M201" s="3">
        <f t="shared" si="32"/>
        <v>17386.93</v>
      </c>
      <c r="N201" s="68"/>
    </row>
    <row r="202" spans="1:14" ht="11.25">
      <c r="A202" s="16" t="s">
        <v>41</v>
      </c>
      <c r="B202" s="26"/>
      <c r="C202" s="14"/>
      <c r="D202" s="87">
        <f>SUM(D199,D195,D193,D191,D184,D177,D171,D164,D160,D166,D201)</f>
        <v>435720</v>
      </c>
      <c r="E202" s="87">
        <f>SUM(E199,E195,E193,E191,E184,E177,E171,E164,E160,E166,E201)</f>
        <v>118611</v>
      </c>
      <c r="F202" s="87">
        <f aca="true" t="shared" si="33" ref="F202:M202">SUM(F199,F195,F193,F191,F184,F177,F171,F164,F160,F166,F201)</f>
        <v>0</v>
      </c>
      <c r="G202" s="87">
        <f t="shared" si="33"/>
        <v>0</v>
      </c>
      <c r="H202" s="87">
        <f t="shared" si="33"/>
        <v>554331</v>
      </c>
      <c r="I202" s="87">
        <f t="shared" si="33"/>
        <v>271519.3</v>
      </c>
      <c r="J202" s="87">
        <f t="shared" si="33"/>
        <v>71089.21</v>
      </c>
      <c r="K202" s="87">
        <f t="shared" si="33"/>
        <v>0</v>
      </c>
      <c r="L202" s="87">
        <f t="shared" si="33"/>
        <v>0</v>
      </c>
      <c r="M202" s="87">
        <f t="shared" si="33"/>
        <v>342608.51</v>
      </c>
      <c r="N202" s="69">
        <f>M202/H202</f>
        <v>0.6180576406515241</v>
      </c>
    </row>
    <row r="203" spans="1:14" ht="18.75" customHeight="1">
      <c r="A203" s="42" t="s">
        <v>42</v>
      </c>
      <c r="B203" s="12" t="s">
        <v>57</v>
      </c>
      <c r="C203" s="10" t="s">
        <v>145</v>
      </c>
      <c r="D203" s="84">
        <v>460000</v>
      </c>
      <c r="E203" s="84"/>
      <c r="F203" s="84"/>
      <c r="G203" s="84"/>
      <c r="H203" s="4">
        <f t="shared" si="31"/>
        <v>460000</v>
      </c>
      <c r="I203" s="84">
        <v>441125.49</v>
      </c>
      <c r="J203" s="84"/>
      <c r="K203" s="84"/>
      <c r="L203" s="84"/>
      <c r="M203" s="4">
        <f t="shared" si="32"/>
        <v>441125.49</v>
      </c>
      <c r="N203" s="67">
        <f>M203/H203</f>
        <v>0.9589684565217391</v>
      </c>
    </row>
    <row r="204" spans="1:14" ht="9.75">
      <c r="A204" s="43"/>
      <c r="B204" s="21" t="s">
        <v>146</v>
      </c>
      <c r="C204" s="18"/>
      <c r="D204" s="86">
        <f>SUM(D203:D203)</f>
        <v>460000</v>
      </c>
      <c r="E204" s="86">
        <f>SUM(E203:E203)</f>
        <v>0</v>
      </c>
      <c r="F204" s="86">
        <f>SUM(F203:F203)</f>
        <v>0</v>
      </c>
      <c r="G204" s="86">
        <f>SUM(G203:G203)</f>
        <v>0</v>
      </c>
      <c r="H204" s="19">
        <f t="shared" si="31"/>
        <v>460000</v>
      </c>
      <c r="I204" s="86">
        <f>SUM(I203:I203)</f>
        <v>441125.49</v>
      </c>
      <c r="J204" s="86">
        <f>SUM(J203:J203)</f>
        <v>0</v>
      </c>
      <c r="K204" s="86">
        <f>SUM(K203:K203)</f>
        <v>0</v>
      </c>
      <c r="L204" s="86">
        <f>SUM(L203:L203)</f>
        <v>0</v>
      </c>
      <c r="M204" s="19">
        <f t="shared" si="32"/>
        <v>441125.49</v>
      </c>
      <c r="N204" s="68">
        <f>M204/H204</f>
        <v>0.9589684565217391</v>
      </c>
    </row>
    <row r="205" spans="1:14" ht="28.5" customHeight="1">
      <c r="A205" s="52"/>
      <c r="B205" s="13" t="s">
        <v>187</v>
      </c>
      <c r="C205" s="10" t="s">
        <v>186</v>
      </c>
      <c r="D205" s="84"/>
      <c r="E205" s="84"/>
      <c r="F205" s="84"/>
      <c r="G205" s="84"/>
      <c r="H205" s="4">
        <f t="shared" si="31"/>
        <v>0</v>
      </c>
      <c r="I205" s="84">
        <v>769.95</v>
      </c>
      <c r="J205" s="84"/>
      <c r="K205" s="84"/>
      <c r="L205" s="84"/>
      <c r="M205" s="4">
        <f t="shared" si="32"/>
        <v>769.95</v>
      </c>
      <c r="N205" s="67"/>
    </row>
    <row r="206" spans="1:14" ht="9.75">
      <c r="A206" s="52"/>
      <c r="B206" s="21" t="s">
        <v>188</v>
      </c>
      <c r="C206" s="18"/>
      <c r="D206" s="86">
        <f>SUM(D205)</f>
        <v>0</v>
      </c>
      <c r="E206" s="86">
        <f>SUM(E205)</f>
        <v>0</v>
      </c>
      <c r="F206" s="86">
        <f>SUM(F205)</f>
        <v>0</v>
      </c>
      <c r="G206" s="86">
        <f>SUM(G205)</f>
        <v>0</v>
      </c>
      <c r="H206" s="3">
        <f t="shared" si="31"/>
        <v>0</v>
      </c>
      <c r="I206" s="86">
        <f>SUM(I205)</f>
        <v>769.95</v>
      </c>
      <c r="J206" s="86">
        <f>SUM(J205)</f>
        <v>0</v>
      </c>
      <c r="K206" s="86">
        <f>SUM(K205)</f>
        <v>0</v>
      </c>
      <c r="L206" s="86">
        <f>SUM(L205)</f>
        <v>0</v>
      </c>
      <c r="M206" s="3">
        <f t="shared" si="32"/>
        <v>769.95</v>
      </c>
      <c r="N206" s="68"/>
    </row>
    <row r="207" spans="1:14" s="5" customFormat="1" ht="30" customHeight="1">
      <c r="A207" s="53"/>
      <c r="B207" s="12" t="s">
        <v>189</v>
      </c>
      <c r="C207" s="10" t="s">
        <v>233</v>
      </c>
      <c r="D207" s="76"/>
      <c r="E207" s="85"/>
      <c r="F207" s="85"/>
      <c r="G207" s="85"/>
      <c r="H207" s="4">
        <f t="shared" si="31"/>
        <v>0</v>
      </c>
      <c r="I207" s="76">
        <v>41.91</v>
      </c>
      <c r="J207" s="85"/>
      <c r="K207" s="85"/>
      <c r="L207" s="85"/>
      <c r="M207" s="4">
        <f t="shared" si="32"/>
        <v>41.91</v>
      </c>
      <c r="N207" s="67"/>
    </row>
    <row r="208" spans="1:14" ht="29.25" customHeight="1">
      <c r="A208" s="52"/>
      <c r="B208" s="17"/>
      <c r="C208" s="10" t="s">
        <v>186</v>
      </c>
      <c r="D208" s="84"/>
      <c r="E208" s="84"/>
      <c r="F208" s="84"/>
      <c r="G208" s="84"/>
      <c r="H208" s="4">
        <f t="shared" si="31"/>
        <v>0</v>
      </c>
      <c r="I208" s="84">
        <v>118529.85</v>
      </c>
      <c r="J208" s="84"/>
      <c r="K208" s="84"/>
      <c r="L208" s="84"/>
      <c r="M208" s="4">
        <f t="shared" si="32"/>
        <v>118529.85</v>
      </c>
      <c r="N208" s="67"/>
    </row>
    <row r="209" spans="1:14" ht="10.5" customHeight="1">
      <c r="A209" s="52"/>
      <c r="B209" s="21" t="s">
        <v>190</v>
      </c>
      <c r="C209" s="18"/>
      <c r="D209" s="86">
        <f>SUM(D207:D208)</f>
        <v>0</v>
      </c>
      <c r="E209" s="86">
        <f>SUM(E207:E208)</f>
        <v>0</v>
      </c>
      <c r="F209" s="86">
        <f>SUM(F207:F208)</f>
        <v>0</v>
      </c>
      <c r="G209" s="86">
        <f>SUM(G207:G208)</f>
        <v>0</v>
      </c>
      <c r="H209" s="3">
        <f t="shared" si="31"/>
        <v>0</v>
      </c>
      <c r="I209" s="86">
        <f>SUM(I207:I208)</f>
        <v>118571.76000000001</v>
      </c>
      <c r="J209" s="86">
        <f>SUM(J207:J208)</f>
        <v>0</v>
      </c>
      <c r="K209" s="86">
        <f>SUM(K207:K208)</f>
        <v>0</v>
      </c>
      <c r="L209" s="86">
        <f>SUM(L207:L208)</f>
        <v>0</v>
      </c>
      <c r="M209" s="3">
        <f t="shared" si="32"/>
        <v>118571.76000000001</v>
      </c>
      <c r="N209" s="68"/>
    </row>
    <row r="210" spans="1:14" ht="50.25" customHeight="1">
      <c r="A210" s="52"/>
      <c r="B210" s="13" t="s">
        <v>147</v>
      </c>
      <c r="C210" s="17" t="s">
        <v>63</v>
      </c>
      <c r="D210" s="84"/>
      <c r="E210" s="84"/>
      <c r="F210" s="84"/>
      <c r="G210" s="84">
        <v>1386810</v>
      </c>
      <c r="H210" s="4">
        <f t="shared" si="31"/>
        <v>1386810</v>
      </c>
      <c r="I210" s="84"/>
      <c r="J210" s="84"/>
      <c r="K210" s="84"/>
      <c r="L210" s="84">
        <v>1046360</v>
      </c>
      <c r="M210" s="4">
        <f t="shared" si="32"/>
        <v>1046360</v>
      </c>
      <c r="N210" s="67">
        <f aca="true" t="shared" si="34" ref="N210:N219">M210/H210</f>
        <v>0.754508548395238</v>
      </c>
    </row>
    <row r="211" spans="1:14" ht="12" customHeight="1">
      <c r="A211" s="52"/>
      <c r="B211" s="21" t="s">
        <v>148</v>
      </c>
      <c r="C211" s="18"/>
      <c r="D211" s="86">
        <f>SUM(D210)</f>
        <v>0</v>
      </c>
      <c r="E211" s="86">
        <f>SUM(E210)</f>
        <v>0</v>
      </c>
      <c r="F211" s="86">
        <f>SUM(F210)</f>
        <v>0</v>
      </c>
      <c r="G211" s="86">
        <f>SUM(G210)</f>
        <v>1386810</v>
      </c>
      <c r="H211" s="3">
        <f t="shared" si="31"/>
        <v>1386810</v>
      </c>
      <c r="I211" s="86">
        <f>SUM(I210)</f>
        <v>0</v>
      </c>
      <c r="J211" s="86">
        <f>SUM(J210)</f>
        <v>0</v>
      </c>
      <c r="K211" s="86">
        <f>SUM(K210)</f>
        <v>0</v>
      </c>
      <c r="L211" s="86">
        <f>SUM(L210)</f>
        <v>1046360</v>
      </c>
      <c r="M211" s="3">
        <f t="shared" si="32"/>
        <v>1046360</v>
      </c>
      <c r="N211" s="68">
        <f t="shared" si="34"/>
        <v>0.754508548395238</v>
      </c>
    </row>
    <row r="212" spans="1:14" ht="11.25" customHeight="1">
      <c r="A212" s="52"/>
      <c r="B212" s="128" t="s">
        <v>251</v>
      </c>
      <c r="C212" s="49" t="s">
        <v>64</v>
      </c>
      <c r="D212" s="84"/>
      <c r="E212" s="84"/>
      <c r="F212" s="84"/>
      <c r="G212" s="84"/>
      <c r="H212" s="4">
        <f t="shared" si="31"/>
        <v>0</v>
      </c>
      <c r="I212" s="84">
        <v>178.8</v>
      </c>
      <c r="J212" s="84"/>
      <c r="K212" s="84"/>
      <c r="L212" s="84"/>
      <c r="M212" s="4">
        <f t="shared" si="32"/>
        <v>178.8</v>
      </c>
      <c r="N212" s="67"/>
    </row>
    <row r="213" spans="1:14" ht="12" customHeight="1">
      <c r="A213" s="52"/>
      <c r="B213" s="130"/>
      <c r="C213" s="10" t="s">
        <v>171</v>
      </c>
      <c r="D213" s="84"/>
      <c r="E213" s="84"/>
      <c r="F213" s="84"/>
      <c r="G213" s="84"/>
      <c r="H213" s="4">
        <f t="shared" si="31"/>
        <v>0</v>
      </c>
      <c r="I213" s="84">
        <v>6130.1</v>
      </c>
      <c r="J213" s="84"/>
      <c r="K213" s="84"/>
      <c r="L213" s="84"/>
      <c r="M213" s="4">
        <f t="shared" si="32"/>
        <v>6130.1</v>
      </c>
      <c r="N213" s="67"/>
    </row>
    <row r="214" spans="1:14" ht="11.25" customHeight="1">
      <c r="A214" s="52"/>
      <c r="B214" s="21" t="s">
        <v>191</v>
      </c>
      <c r="C214" s="18"/>
      <c r="D214" s="86">
        <f>SUM(D212:D213)</f>
        <v>0</v>
      </c>
      <c r="E214" s="86">
        <f>SUM(E212:E213)</f>
        <v>0</v>
      </c>
      <c r="F214" s="86">
        <f>SUM(F212:F213)</f>
        <v>0</v>
      </c>
      <c r="G214" s="86">
        <f>SUM(G212:G213)</f>
        <v>0</v>
      </c>
      <c r="H214" s="3">
        <f t="shared" si="31"/>
        <v>0</v>
      </c>
      <c r="I214" s="86">
        <f>SUM(I212:I213)</f>
        <v>6308.900000000001</v>
      </c>
      <c r="J214" s="86">
        <f>SUM(J212:J213)</f>
        <v>0</v>
      </c>
      <c r="K214" s="86">
        <f>SUM(K212:K213)</f>
        <v>0</v>
      </c>
      <c r="L214" s="86">
        <f>SUM(L212:L213)</f>
        <v>0</v>
      </c>
      <c r="M214" s="3">
        <f t="shared" si="32"/>
        <v>6308.900000000001</v>
      </c>
      <c r="N214" s="68"/>
    </row>
    <row r="215" spans="1:14" s="5" customFormat="1" ht="32.25" customHeight="1">
      <c r="A215" s="53"/>
      <c r="B215" s="128" t="s">
        <v>192</v>
      </c>
      <c r="C215" s="12" t="s">
        <v>233</v>
      </c>
      <c r="D215" s="85"/>
      <c r="E215" s="85"/>
      <c r="F215" s="85"/>
      <c r="G215" s="85"/>
      <c r="H215" s="4">
        <f t="shared" si="31"/>
        <v>0</v>
      </c>
      <c r="I215" s="84">
        <v>64</v>
      </c>
      <c r="J215" s="85"/>
      <c r="K215" s="85"/>
      <c r="L215" s="85"/>
      <c r="M215" s="4">
        <f t="shared" si="32"/>
        <v>64</v>
      </c>
      <c r="N215" s="67"/>
    </row>
    <row r="216" spans="1:14" s="5" customFormat="1" ht="39.75" customHeight="1">
      <c r="A216" s="53"/>
      <c r="B216" s="129"/>
      <c r="C216" s="10" t="s">
        <v>115</v>
      </c>
      <c r="D216" s="85"/>
      <c r="E216" s="85"/>
      <c r="F216" s="76">
        <v>28700</v>
      </c>
      <c r="G216" s="85"/>
      <c r="H216" s="4">
        <f t="shared" si="31"/>
        <v>28700</v>
      </c>
      <c r="I216" s="85"/>
      <c r="J216" s="85"/>
      <c r="K216" s="76">
        <v>14340</v>
      </c>
      <c r="L216" s="85"/>
      <c r="M216" s="4">
        <f t="shared" si="32"/>
        <v>14340</v>
      </c>
      <c r="N216" s="67">
        <f t="shared" si="34"/>
        <v>0.49965156794425086</v>
      </c>
    </row>
    <row r="217" spans="1:14" ht="30" customHeight="1">
      <c r="A217" s="52"/>
      <c r="B217" s="130"/>
      <c r="C217" s="10" t="s">
        <v>186</v>
      </c>
      <c r="D217" s="84"/>
      <c r="E217" s="84"/>
      <c r="F217" s="84"/>
      <c r="G217" s="84"/>
      <c r="H217" s="4">
        <f t="shared" si="31"/>
        <v>0</v>
      </c>
      <c r="I217" s="84">
        <v>40523.47</v>
      </c>
      <c r="J217" s="84"/>
      <c r="K217" s="84"/>
      <c r="L217" s="84"/>
      <c r="M217" s="4">
        <f t="shared" si="32"/>
        <v>40523.47</v>
      </c>
      <c r="N217" s="67"/>
    </row>
    <row r="218" spans="1:14" ht="9.75">
      <c r="A218" s="52"/>
      <c r="B218" s="21" t="s">
        <v>192</v>
      </c>
      <c r="C218" s="18"/>
      <c r="D218" s="86">
        <f>SUM(D215:D217)</f>
        <v>0</v>
      </c>
      <c r="E218" s="86">
        <f>SUM(E215:E217)</f>
        <v>0</v>
      </c>
      <c r="F218" s="86">
        <f>SUM(F215:F217)</f>
        <v>28700</v>
      </c>
      <c r="G218" s="86">
        <f>SUM(G215:G217)</f>
        <v>0</v>
      </c>
      <c r="H218" s="3">
        <f t="shared" si="31"/>
        <v>28700</v>
      </c>
      <c r="I218" s="86">
        <f>SUM(I215:I217)</f>
        <v>40587.47</v>
      </c>
      <c r="J218" s="86">
        <f>SUM(J215:J217)</f>
        <v>0</v>
      </c>
      <c r="K218" s="86">
        <f>SUM(K215:K217)</f>
        <v>14340</v>
      </c>
      <c r="L218" s="86">
        <f>SUM(L215:L217)</f>
        <v>0</v>
      </c>
      <c r="M218" s="3">
        <f t="shared" si="32"/>
        <v>54927.47</v>
      </c>
      <c r="N218" s="68">
        <f t="shared" si="34"/>
        <v>1.9138491289198607</v>
      </c>
    </row>
    <row r="219" spans="1:14" ht="9" customHeight="1">
      <c r="A219" s="23" t="s">
        <v>43</v>
      </c>
      <c r="B219" s="23"/>
      <c r="C219" s="14"/>
      <c r="D219" s="87">
        <f>SUM(D218,D214,D211,D209,D206,D204)</f>
        <v>460000</v>
      </c>
      <c r="E219" s="87">
        <f>SUM(E218,E214,E211,E209,E206,E204)</f>
        <v>0</v>
      </c>
      <c r="F219" s="87">
        <f aca="true" t="shared" si="35" ref="F219:M219">SUM(F218,F214,F211,F209,F206,F204)</f>
        <v>28700</v>
      </c>
      <c r="G219" s="87">
        <f t="shared" si="35"/>
        <v>1386810</v>
      </c>
      <c r="H219" s="87">
        <f t="shared" si="35"/>
        <v>1875510</v>
      </c>
      <c r="I219" s="87">
        <f t="shared" si="35"/>
        <v>607363.5700000001</v>
      </c>
      <c r="J219" s="87">
        <f t="shared" si="35"/>
        <v>0</v>
      </c>
      <c r="K219" s="87">
        <f t="shared" si="35"/>
        <v>14340</v>
      </c>
      <c r="L219" s="87">
        <f t="shared" si="35"/>
        <v>1046360</v>
      </c>
      <c r="M219" s="87">
        <f t="shared" si="35"/>
        <v>1668063.57</v>
      </c>
      <c r="N219" s="69">
        <f t="shared" si="34"/>
        <v>0.889391989378889</v>
      </c>
    </row>
    <row r="220" spans="1:14" s="5" customFormat="1" ht="30" customHeight="1">
      <c r="A220" s="42" t="s">
        <v>96</v>
      </c>
      <c r="B220" s="128" t="s">
        <v>97</v>
      </c>
      <c r="C220" s="10" t="s">
        <v>241</v>
      </c>
      <c r="D220" s="84"/>
      <c r="E220" s="76"/>
      <c r="F220" s="88"/>
      <c r="G220" s="88"/>
      <c r="H220" s="4">
        <f t="shared" si="31"/>
        <v>0</v>
      </c>
      <c r="I220" s="84"/>
      <c r="J220" s="76">
        <v>2834.47</v>
      </c>
      <c r="K220" s="88"/>
      <c r="L220" s="88"/>
      <c r="M220" s="4">
        <f t="shared" si="32"/>
        <v>2834.47</v>
      </c>
      <c r="N220" s="67"/>
    </row>
    <row r="221" spans="1:14" s="5" customFormat="1" ht="50.25" customHeight="1">
      <c r="A221" s="43"/>
      <c r="B221" s="129"/>
      <c r="C221" s="10" t="s">
        <v>94</v>
      </c>
      <c r="D221" s="84"/>
      <c r="E221" s="76"/>
      <c r="F221" s="88"/>
      <c r="G221" s="88"/>
      <c r="H221" s="4">
        <f t="shared" si="31"/>
        <v>0</v>
      </c>
      <c r="I221" s="84"/>
      <c r="J221" s="76">
        <v>3769.56</v>
      </c>
      <c r="K221" s="88"/>
      <c r="L221" s="88"/>
      <c r="M221" s="4">
        <f t="shared" si="32"/>
        <v>3769.56</v>
      </c>
      <c r="N221" s="67"/>
    </row>
    <row r="222" spans="1:14" s="5" customFormat="1" ht="10.5" customHeight="1">
      <c r="A222" s="43"/>
      <c r="B222" s="129"/>
      <c r="C222" s="10" t="s">
        <v>171</v>
      </c>
      <c r="D222" s="84"/>
      <c r="E222" s="76"/>
      <c r="F222" s="88"/>
      <c r="G222" s="88"/>
      <c r="H222" s="4">
        <f t="shared" si="31"/>
        <v>0</v>
      </c>
      <c r="I222" s="84"/>
      <c r="J222" s="76">
        <v>425.6</v>
      </c>
      <c r="K222" s="88"/>
      <c r="L222" s="88"/>
      <c r="M222" s="4">
        <f t="shared" si="32"/>
        <v>425.6</v>
      </c>
      <c r="N222" s="67"/>
    </row>
    <row r="223" spans="1:14" s="5" customFormat="1" ht="30.75" customHeight="1">
      <c r="A223" s="43"/>
      <c r="B223" s="129"/>
      <c r="C223" s="12" t="s">
        <v>233</v>
      </c>
      <c r="D223" s="84"/>
      <c r="E223" s="76"/>
      <c r="F223" s="88"/>
      <c r="G223" s="88"/>
      <c r="H223" s="4">
        <f t="shared" si="31"/>
        <v>0</v>
      </c>
      <c r="I223" s="84"/>
      <c r="J223" s="76">
        <v>0.17</v>
      </c>
      <c r="K223" s="88"/>
      <c r="L223" s="88"/>
      <c r="M223" s="4">
        <f t="shared" si="32"/>
        <v>0.17</v>
      </c>
      <c r="N223" s="67"/>
    </row>
    <row r="224" spans="1:14" s="5" customFormat="1" ht="9.75" customHeight="1">
      <c r="A224" s="43"/>
      <c r="B224" s="129"/>
      <c r="C224" s="12" t="s">
        <v>67</v>
      </c>
      <c r="D224" s="84"/>
      <c r="E224" s="76"/>
      <c r="F224" s="88"/>
      <c r="G224" s="88"/>
      <c r="H224" s="4">
        <f t="shared" si="31"/>
        <v>0</v>
      </c>
      <c r="I224" s="84"/>
      <c r="J224" s="76">
        <v>4852.37</v>
      </c>
      <c r="K224" s="88"/>
      <c r="L224" s="88"/>
      <c r="M224" s="4">
        <f t="shared" si="32"/>
        <v>4852.37</v>
      </c>
      <c r="N224" s="67"/>
    </row>
    <row r="225" spans="1:14" s="5" customFormat="1" ht="21" customHeight="1">
      <c r="A225" s="43"/>
      <c r="B225" s="129"/>
      <c r="C225" s="48" t="s">
        <v>66</v>
      </c>
      <c r="D225" s="84"/>
      <c r="E225" s="76">
        <v>1000</v>
      </c>
      <c r="F225" s="88"/>
      <c r="G225" s="88"/>
      <c r="H225" s="4">
        <f t="shared" si="31"/>
        <v>1000</v>
      </c>
      <c r="I225" s="84"/>
      <c r="J225" s="76">
        <v>1000</v>
      </c>
      <c r="K225" s="88"/>
      <c r="L225" s="88"/>
      <c r="M225" s="4">
        <f t="shared" si="32"/>
        <v>1000</v>
      </c>
      <c r="N225" s="67">
        <f>M225/H225</f>
        <v>1</v>
      </c>
    </row>
    <row r="226" spans="1:14" s="5" customFormat="1" ht="30" customHeight="1">
      <c r="A226" s="57"/>
      <c r="B226" s="129"/>
      <c r="C226" s="47" t="s">
        <v>75</v>
      </c>
      <c r="D226" s="76"/>
      <c r="E226" s="76">
        <v>39800</v>
      </c>
      <c r="F226" s="76"/>
      <c r="G226" s="76"/>
      <c r="H226" s="4">
        <f aca="true" t="shared" si="36" ref="H226:H268">SUM(D226:G226)</f>
        <v>39800</v>
      </c>
      <c r="I226" s="76"/>
      <c r="J226" s="76">
        <v>58265.87</v>
      </c>
      <c r="K226" s="76"/>
      <c r="L226" s="76"/>
      <c r="M226" s="4">
        <f aca="true" t="shared" si="37" ref="M226:M268">SUM(I226:L226)</f>
        <v>58265.87</v>
      </c>
      <c r="N226" s="67">
        <f>M226/H226</f>
        <v>1.463966582914573</v>
      </c>
    </row>
    <row r="227" spans="1:15" ht="9.75" customHeight="1">
      <c r="A227" s="54"/>
      <c r="B227" s="21" t="s">
        <v>149</v>
      </c>
      <c r="C227" s="18"/>
      <c r="D227" s="86">
        <f>SUM(D220:D226)</f>
        <v>0</v>
      </c>
      <c r="E227" s="86">
        <f>SUM(E220:E226)</f>
        <v>40800</v>
      </c>
      <c r="F227" s="86">
        <f>SUM(F220:F226)</f>
        <v>0</v>
      </c>
      <c r="G227" s="86">
        <f>SUM(G220:G226)</f>
        <v>0</v>
      </c>
      <c r="H227" s="3">
        <f t="shared" si="36"/>
        <v>40800</v>
      </c>
      <c r="I227" s="86">
        <f>SUM(I220:I226)</f>
        <v>0</v>
      </c>
      <c r="J227" s="86">
        <f>SUM(J220:J226)</f>
        <v>71148.04000000001</v>
      </c>
      <c r="K227" s="86">
        <f>SUM(K220:K226)</f>
        <v>0</v>
      </c>
      <c r="L227" s="86">
        <f>SUM(L220:L226)</f>
        <v>0</v>
      </c>
      <c r="M227" s="3">
        <f t="shared" si="37"/>
        <v>71148.04000000001</v>
      </c>
      <c r="N227" s="68">
        <f>M227/H227</f>
        <v>1.7438245098039218</v>
      </c>
      <c r="O227" s="77"/>
    </row>
    <row r="228" spans="1:14" s="5" customFormat="1" ht="9" customHeight="1">
      <c r="A228" s="53"/>
      <c r="B228" s="128" t="s">
        <v>98</v>
      </c>
      <c r="C228" s="49" t="s">
        <v>64</v>
      </c>
      <c r="D228" s="76"/>
      <c r="E228" s="85"/>
      <c r="F228" s="85"/>
      <c r="G228" s="85"/>
      <c r="H228" s="4">
        <f t="shared" si="36"/>
        <v>0</v>
      </c>
      <c r="I228" s="76">
        <v>23341.44</v>
      </c>
      <c r="J228" s="85"/>
      <c r="K228" s="85"/>
      <c r="L228" s="85"/>
      <c r="M228" s="4">
        <f t="shared" si="37"/>
        <v>23341.44</v>
      </c>
      <c r="N228" s="67"/>
    </row>
    <row r="229" spans="1:14" ht="11.25" customHeight="1">
      <c r="A229" s="52"/>
      <c r="B229" s="129"/>
      <c r="C229" s="9" t="s">
        <v>69</v>
      </c>
      <c r="E229" s="84">
        <v>462490</v>
      </c>
      <c r="F229" s="84"/>
      <c r="G229" s="84"/>
      <c r="H229" s="4">
        <f t="shared" si="36"/>
        <v>462490</v>
      </c>
      <c r="I229" s="89"/>
      <c r="J229" s="84">
        <v>236678.93</v>
      </c>
      <c r="K229" s="84"/>
      <c r="L229" s="84"/>
      <c r="M229" s="4">
        <f t="shared" si="37"/>
        <v>236678.93</v>
      </c>
      <c r="N229" s="67">
        <f>M229/H229</f>
        <v>0.5117492918765811</v>
      </c>
    </row>
    <row r="230" spans="1:14" ht="10.5" customHeight="1">
      <c r="A230" s="52"/>
      <c r="B230" s="129"/>
      <c r="C230" s="10" t="s">
        <v>67</v>
      </c>
      <c r="D230" s="84"/>
      <c r="E230" s="84"/>
      <c r="F230" s="84"/>
      <c r="G230" s="84"/>
      <c r="H230" s="4">
        <f t="shared" si="36"/>
        <v>0</v>
      </c>
      <c r="I230" s="84"/>
      <c r="J230" s="84">
        <v>660.04</v>
      </c>
      <c r="K230" s="84"/>
      <c r="L230" s="84"/>
      <c r="M230" s="4">
        <f t="shared" si="37"/>
        <v>660.04</v>
      </c>
      <c r="N230" s="67"/>
    </row>
    <row r="231" spans="1:14" s="5" customFormat="1" ht="22.5" customHeight="1">
      <c r="A231" s="53"/>
      <c r="B231" s="129"/>
      <c r="C231" s="48" t="s">
        <v>66</v>
      </c>
      <c r="D231" s="76"/>
      <c r="E231" s="76">
        <f>906000+144960-24115</f>
        <v>1026845</v>
      </c>
      <c r="F231" s="97"/>
      <c r="G231" s="76"/>
      <c r="H231" s="4">
        <f t="shared" si="36"/>
        <v>1026845</v>
      </c>
      <c r="I231" s="76"/>
      <c r="J231" s="76">
        <v>572150</v>
      </c>
      <c r="K231" s="97"/>
      <c r="L231" s="76"/>
      <c r="M231" s="4">
        <f t="shared" si="37"/>
        <v>572150</v>
      </c>
      <c r="N231" s="67">
        <f aca="true" t="shared" si="38" ref="N231:N236">M231/H231</f>
        <v>0.5571921760343577</v>
      </c>
    </row>
    <row r="232" spans="1:14" ht="10.5" customHeight="1">
      <c r="A232" s="52"/>
      <c r="B232" s="21" t="s">
        <v>150</v>
      </c>
      <c r="C232" s="18"/>
      <c r="D232" s="86">
        <f>SUM(D228:D231)</f>
        <v>0</v>
      </c>
      <c r="E232" s="86">
        <f>SUM(E228:E231)</f>
        <v>1489335</v>
      </c>
      <c r="F232" s="86">
        <f>SUM(F228:F231)</f>
        <v>0</v>
      </c>
      <c r="G232" s="86">
        <f>SUM(G228:G231)</f>
        <v>0</v>
      </c>
      <c r="H232" s="3">
        <f t="shared" si="36"/>
        <v>1489335</v>
      </c>
      <c r="I232" s="86">
        <f>SUM(I228:I231)</f>
        <v>23341.44</v>
      </c>
      <c r="J232" s="86">
        <f>SUM(J228:J231)</f>
        <v>809488.97</v>
      </c>
      <c r="K232" s="86">
        <f>SUM(K228:K231)</f>
        <v>0</v>
      </c>
      <c r="L232" s="86">
        <f>SUM(L228:L231)</f>
        <v>0</v>
      </c>
      <c r="M232" s="3">
        <f t="shared" si="37"/>
        <v>832830.4099999999</v>
      </c>
      <c r="N232" s="68">
        <f t="shared" si="38"/>
        <v>0.559196158016833</v>
      </c>
    </row>
    <row r="233" spans="1:14" ht="10.5" customHeight="1">
      <c r="A233" s="52"/>
      <c r="B233" s="12" t="s">
        <v>99</v>
      </c>
      <c r="C233" s="9" t="s">
        <v>69</v>
      </c>
      <c r="D233" s="84">
        <v>465220</v>
      </c>
      <c r="E233" s="84"/>
      <c r="F233" s="84"/>
      <c r="G233" s="84"/>
      <c r="H233" s="4">
        <f t="shared" si="36"/>
        <v>465220</v>
      </c>
      <c r="I233" s="84">
        <v>285456.48</v>
      </c>
      <c r="J233" s="84"/>
      <c r="K233" s="84"/>
      <c r="L233" s="84"/>
      <c r="M233" s="4">
        <f t="shared" si="37"/>
        <v>285456.48</v>
      </c>
      <c r="N233" s="67">
        <f t="shared" si="38"/>
        <v>0.6135946004041098</v>
      </c>
    </row>
    <row r="234" spans="1:14" ht="39" customHeight="1">
      <c r="A234" s="52"/>
      <c r="B234" s="17"/>
      <c r="C234" s="10" t="s">
        <v>115</v>
      </c>
      <c r="D234" s="84"/>
      <c r="E234" s="84"/>
      <c r="F234" s="84">
        <f>1449000+27000</f>
        <v>1476000</v>
      </c>
      <c r="G234" s="84"/>
      <c r="H234" s="4">
        <f t="shared" si="36"/>
        <v>1476000</v>
      </c>
      <c r="I234" s="84"/>
      <c r="J234" s="84"/>
      <c r="K234" s="84">
        <v>738000</v>
      </c>
      <c r="L234" s="84"/>
      <c r="M234" s="4">
        <f t="shared" si="37"/>
        <v>738000</v>
      </c>
      <c r="N234" s="67">
        <f t="shared" si="38"/>
        <v>0.5</v>
      </c>
    </row>
    <row r="235" spans="1:14" ht="38.25" customHeight="1">
      <c r="A235" s="52"/>
      <c r="B235" s="17"/>
      <c r="C235" s="17" t="s">
        <v>63</v>
      </c>
      <c r="D235" s="84"/>
      <c r="E235" s="84"/>
      <c r="F235" s="84"/>
      <c r="G235" s="84">
        <v>354000</v>
      </c>
      <c r="H235" s="4">
        <f t="shared" si="36"/>
        <v>354000</v>
      </c>
      <c r="I235" s="84"/>
      <c r="J235" s="84"/>
      <c r="K235" s="84"/>
      <c r="L235" s="84">
        <v>177000</v>
      </c>
      <c r="M235" s="4">
        <f t="shared" si="37"/>
        <v>177000</v>
      </c>
      <c r="N235" s="67">
        <f t="shared" si="38"/>
        <v>0.5</v>
      </c>
    </row>
    <row r="236" spans="1:14" ht="30" customHeight="1">
      <c r="A236" s="52"/>
      <c r="B236" s="17"/>
      <c r="C236" s="12" t="s">
        <v>70</v>
      </c>
      <c r="D236" s="76">
        <v>925</v>
      </c>
      <c r="E236" s="84"/>
      <c r="F236" s="84"/>
      <c r="G236" s="84"/>
      <c r="H236" s="4">
        <f t="shared" si="36"/>
        <v>925</v>
      </c>
      <c r="I236" s="76">
        <v>2967.97</v>
      </c>
      <c r="J236" s="84"/>
      <c r="K236" s="84"/>
      <c r="L236" s="84"/>
      <c r="M236" s="4">
        <f t="shared" si="37"/>
        <v>2967.97</v>
      </c>
      <c r="N236" s="67">
        <f t="shared" si="38"/>
        <v>3.208616216216216</v>
      </c>
    </row>
    <row r="237" spans="1:14" ht="27.75" customHeight="1">
      <c r="A237" s="52"/>
      <c r="B237" s="17"/>
      <c r="C237" s="12" t="s">
        <v>186</v>
      </c>
      <c r="D237" s="84"/>
      <c r="E237" s="84"/>
      <c r="F237" s="84"/>
      <c r="G237" s="84"/>
      <c r="H237" s="4">
        <f t="shared" si="36"/>
        <v>0</v>
      </c>
      <c r="I237" s="84">
        <v>0.44</v>
      </c>
      <c r="J237" s="84"/>
      <c r="K237" s="84"/>
      <c r="L237" s="84"/>
      <c r="M237" s="4">
        <f t="shared" si="37"/>
        <v>0.44</v>
      </c>
      <c r="N237" s="67"/>
    </row>
    <row r="238" spans="1:14" ht="9.75" customHeight="1">
      <c r="A238" s="52"/>
      <c r="B238" s="21" t="s">
        <v>151</v>
      </c>
      <c r="C238" s="18"/>
      <c r="D238" s="86">
        <f>SUM(D233:D237)</f>
        <v>466145</v>
      </c>
      <c r="E238" s="86">
        <f>SUM(E233:E237)</f>
        <v>0</v>
      </c>
      <c r="F238" s="86">
        <f>SUM(F233:F237)</f>
        <v>1476000</v>
      </c>
      <c r="G238" s="86">
        <f>SUM(G233:G237)</f>
        <v>354000</v>
      </c>
      <c r="H238" s="3">
        <f t="shared" si="36"/>
        <v>2296145</v>
      </c>
      <c r="I238" s="86">
        <f>SUM(I233:I237)</f>
        <v>288424.88999999996</v>
      </c>
      <c r="J238" s="86">
        <f>SUM(J233:J237)</f>
        <v>0</v>
      </c>
      <c r="K238" s="86">
        <f>SUM(K233:K237)</f>
        <v>738000</v>
      </c>
      <c r="L238" s="86">
        <f>SUM(L233:L237)</f>
        <v>177000</v>
      </c>
      <c r="M238" s="3">
        <f t="shared" si="37"/>
        <v>1203424.89</v>
      </c>
      <c r="N238" s="68">
        <f aca="true" t="shared" si="39" ref="N238:N244">M238/H238</f>
        <v>0.5241066613824475</v>
      </c>
    </row>
    <row r="239" spans="1:14" s="5" customFormat="1" ht="12" customHeight="1">
      <c r="A239" s="53"/>
      <c r="B239" s="132" t="s">
        <v>172</v>
      </c>
      <c r="C239" s="78" t="s">
        <v>64</v>
      </c>
      <c r="D239" s="85"/>
      <c r="E239" s="76"/>
      <c r="F239" s="85"/>
      <c r="G239" s="85"/>
      <c r="H239" s="4">
        <f t="shared" si="36"/>
        <v>0</v>
      </c>
      <c r="I239" s="85"/>
      <c r="J239" s="76">
        <v>2702.89</v>
      </c>
      <c r="K239" s="85"/>
      <c r="L239" s="85"/>
      <c r="M239" s="4">
        <f t="shared" si="37"/>
        <v>2702.89</v>
      </c>
      <c r="N239" s="67"/>
    </row>
    <row r="240" spans="1:14" s="5" customFormat="1" ht="11.25" customHeight="1">
      <c r="A240" s="53"/>
      <c r="B240" s="133"/>
      <c r="C240" s="10" t="s">
        <v>67</v>
      </c>
      <c r="D240" s="85"/>
      <c r="E240" s="76"/>
      <c r="F240" s="85"/>
      <c r="G240" s="85"/>
      <c r="H240" s="4">
        <f t="shared" si="36"/>
        <v>0</v>
      </c>
      <c r="I240" s="85"/>
      <c r="J240" s="76">
        <v>1594.17</v>
      </c>
      <c r="K240" s="85"/>
      <c r="L240" s="85"/>
      <c r="M240" s="4">
        <f t="shared" si="37"/>
        <v>1594.17</v>
      </c>
      <c r="N240" s="67"/>
    </row>
    <row r="241" spans="1:14" s="5" customFormat="1" ht="28.5" customHeight="1">
      <c r="A241" s="53"/>
      <c r="B241" s="133"/>
      <c r="C241" s="47" t="s">
        <v>75</v>
      </c>
      <c r="D241" s="76"/>
      <c r="E241" s="76">
        <v>262932</v>
      </c>
      <c r="F241" s="76"/>
      <c r="G241" s="76"/>
      <c r="H241" s="4">
        <f t="shared" si="36"/>
        <v>262932</v>
      </c>
      <c r="I241" s="76"/>
      <c r="J241" s="76">
        <v>185745.06</v>
      </c>
      <c r="K241" s="76"/>
      <c r="L241" s="76"/>
      <c r="M241" s="4">
        <f t="shared" si="37"/>
        <v>185745.06</v>
      </c>
      <c r="N241" s="67">
        <f t="shared" si="39"/>
        <v>0.7064376340650814</v>
      </c>
    </row>
    <row r="242" spans="1:14" s="5" customFormat="1" ht="29.25" customHeight="1">
      <c r="A242" s="53"/>
      <c r="B242" s="133"/>
      <c r="C242" s="12" t="s">
        <v>70</v>
      </c>
      <c r="D242" s="76"/>
      <c r="E242" s="76"/>
      <c r="F242" s="76"/>
      <c r="G242" s="76"/>
      <c r="H242" s="4">
        <f t="shared" si="36"/>
        <v>0</v>
      </c>
      <c r="I242" s="76">
        <v>17.3</v>
      </c>
      <c r="J242" s="76"/>
      <c r="K242" s="76"/>
      <c r="L242" s="76"/>
      <c r="M242" s="4">
        <f t="shared" si="37"/>
        <v>17.3</v>
      </c>
      <c r="N242" s="67"/>
    </row>
    <row r="243" spans="1:14" s="5" customFormat="1" ht="27.75" customHeight="1">
      <c r="A243" s="53"/>
      <c r="B243" s="137"/>
      <c r="C243" s="12" t="s">
        <v>186</v>
      </c>
      <c r="D243" s="76"/>
      <c r="E243" s="76"/>
      <c r="F243" s="76"/>
      <c r="G243" s="76"/>
      <c r="H243" s="4">
        <f t="shared" si="36"/>
        <v>0</v>
      </c>
      <c r="I243" s="76"/>
      <c r="J243" s="76"/>
      <c r="K243" s="76"/>
      <c r="L243" s="76"/>
      <c r="M243" s="4">
        <f t="shared" si="37"/>
        <v>0</v>
      </c>
      <c r="N243" s="67"/>
    </row>
    <row r="244" spans="1:14" ht="10.5" customHeight="1">
      <c r="A244" s="52"/>
      <c r="B244" s="21" t="s">
        <v>173</v>
      </c>
      <c r="C244" s="18"/>
      <c r="D244" s="86">
        <f>SUM(D239:D243)</f>
        <v>0</v>
      </c>
      <c r="E244" s="86">
        <f>SUM(E239:E243)</f>
        <v>262932</v>
      </c>
      <c r="F244" s="86">
        <f>SUM(F239:F243)</f>
        <v>0</v>
      </c>
      <c r="G244" s="86">
        <f>SUM(G239:G243)</f>
        <v>0</v>
      </c>
      <c r="H244" s="3">
        <f t="shared" si="36"/>
        <v>262932</v>
      </c>
      <c r="I244" s="86">
        <f>SUM(I239:I243)</f>
        <v>17.3</v>
      </c>
      <c r="J244" s="86">
        <f>SUM(J239:J243)</f>
        <v>190042.12</v>
      </c>
      <c r="K244" s="86">
        <f>SUM(K239:K243)</f>
        <v>0</v>
      </c>
      <c r="L244" s="86">
        <f>SUM(L239:L243)</f>
        <v>0</v>
      </c>
      <c r="M244" s="3">
        <f t="shared" si="37"/>
        <v>190059.41999999998</v>
      </c>
      <c r="N244" s="68">
        <f t="shared" si="39"/>
        <v>0.722846287252978</v>
      </c>
    </row>
    <row r="245" spans="1:14" s="5" customFormat="1" ht="11.25" customHeight="1">
      <c r="A245" s="53"/>
      <c r="B245" s="129" t="s">
        <v>152</v>
      </c>
      <c r="C245" s="10" t="s">
        <v>67</v>
      </c>
      <c r="D245" s="85"/>
      <c r="E245" s="85"/>
      <c r="F245" s="85"/>
      <c r="G245" s="85"/>
      <c r="H245" s="4">
        <f t="shared" si="36"/>
        <v>0</v>
      </c>
      <c r="I245" s="76">
        <v>28735.19</v>
      </c>
      <c r="J245" s="85"/>
      <c r="K245" s="85"/>
      <c r="L245" s="85"/>
      <c r="M245" s="4">
        <f t="shared" si="37"/>
        <v>28735.19</v>
      </c>
      <c r="N245" s="67"/>
    </row>
    <row r="246" spans="1:14" ht="39.75" customHeight="1">
      <c r="A246" s="52"/>
      <c r="B246" s="129"/>
      <c r="C246" s="9" t="s">
        <v>115</v>
      </c>
      <c r="D246" s="84"/>
      <c r="E246" s="84"/>
      <c r="F246" s="84">
        <f>38288130+1379830</f>
        <v>39667960</v>
      </c>
      <c r="G246" s="84"/>
      <c r="H246" s="4">
        <f t="shared" si="36"/>
        <v>39667960</v>
      </c>
      <c r="I246" s="84"/>
      <c r="J246" s="84"/>
      <c r="K246" s="84">
        <v>17020833</v>
      </c>
      <c r="L246" s="84"/>
      <c r="M246" s="4">
        <f t="shared" si="37"/>
        <v>17020833</v>
      </c>
      <c r="N246" s="67">
        <f aca="true" t="shared" si="40" ref="N246:N254">M246/H246</f>
        <v>0.4290826399945951</v>
      </c>
    </row>
    <row r="247" spans="1:14" ht="30" customHeight="1">
      <c r="A247" s="52"/>
      <c r="B247" s="129"/>
      <c r="C247" s="12" t="s">
        <v>70</v>
      </c>
      <c r="D247" s="76">
        <v>63900</v>
      </c>
      <c r="E247" s="84"/>
      <c r="F247" s="84"/>
      <c r="G247" s="84"/>
      <c r="H247" s="4">
        <f t="shared" si="36"/>
        <v>63900</v>
      </c>
      <c r="I247" s="76">
        <v>232682.59</v>
      </c>
      <c r="J247" s="84"/>
      <c r="K247" s="84"/>
      <c r="L247" s="84"/>
      <c r="M247" s="4">
        <f t="shared" si="37"/>
        <v>232682.59</v>
      </c>
      <c r="N247" s="67">
        <f t="shared" si="40"/>
        <v>3.641355086071987</v>
      </c>
    </row>
    <row r="248" spans="1:14" ht="10.5" customHeight="1">
      <c r="A248" s="52"/>
      <c r="B248" s="21" t="s">
        <v>153</v>
      </c>
      <c r="C248" s="18"/>
      <c r="D248" s="86">
        <f>SUM(D245:D247)</f>
        <v>63900</v>
      </c>
      <c r="E248" s="86">
        <f>SUM(E245:E247)</f>
        <v>0</v>
      </c>
      <c r="F248" s="86">
        <f>SUM(F245:F247)</f>
        <v>39667960</v>
      </c>
      <c r="G248" s="86">
        <f>SUM(G245:G247)</f>
        <v>0</v>
      </c>
      <c r="H248" s="3">
        <f t="shared" si="36"/>
        <v>39731860</v>
      </c>
      <c r="I248" s="86">
        <f>SUM(I245:I247)</f>
        <v>261417.78</v>
      </c>
      <c r="J248" s="86">
        <f>SUM(J245:J247)</f>
        <v>0</v>
      </c>
      <c r="K248" s="86">
        <f>SUM(K245:K247)</f>
        <v>17020833</v>
      </c>
      <c r="L248" s="86">
        <f>SUM(L245:L247)</f>
        <v>0</v>
      </c>
      <c r="M248" s="3">
        <f t="shared" si="37"/>
        <v>17282250.78</v>
      </c>
      <c r="N248" s="68">
        <f t="shared" si="40"/>
        <v>0.4349721050059071</v>
      </c>
    </row>
    <row r="249" spans="1:14" ht="68.25" customHeight="1">
      <c r="A249" s="52"/>
      <c r="B249" s="13" t="s">
        <v>154</v>
      </c>
      <c r="C249" s="17" t="s">
        <v>115</v>
      </c>
      <c r="D249" s="84"/>
      <c r="E249" s="84"/>
      <c r="F249" s="84">
        <f>475000-25000</f>
        <v>450000</v>
      </c>
      <c r="G249" s="84"/>
      <c r="H249" s="4">
        <f t="shared" si="36"/>
        <v>450000</v>
      </c>
      <c r="I249" s="84"/>
      <c r="J249" s="84"/>
      <c r="K249" s="84">
        <v>197600</v>
      </c>
      <c r="L249" s="84"/>
      <c r="M249" s="4">
        <f t="shared" si="37"/>
        <v>197600</v>
      </c>
      <c r="N249" s="67">
        <f t="shared" si="40"/>
        <v>0.4391111111111111</v>
      </c>
    </row>
    <row r="250" spans="1:14" ht="11.25" customHeight="1">
      <c r="A250" s="52"/>
      <c r="B250" s="21" t="s">
        <v>155</v>
      </c>
      <c r="C250" s="18"/>
      <c r="D250" s="86">
        <f>SUM(D249)</f>
        <v>0</v>
      </c>
      <c r="E250" s="86">
        <f>SUM(E249)</f>
        <v>0</v>
      </c>
      <c r="F250" s="86">
        <f>SUM(F249)</f>
        <v>450000</v>
      </c>
      <c r="G250" s="86">
        <f>SUM(G249)</f>
        <v>0</v>
      </c>
      <c r="H250" s="3">
        <f t="shared" si="36"/>
        <v>450000</v>
      </c>
      <c r="I250" s="86">
        <f>SUM(I249)</f>
        <v>0</v>
      </c>
      <c r="J250" s="86">
        <f>SUM(J249)</f>
        <v>0</v>
      </c>
      <c r="K250" s="86">
        <f>SUM(K249)</f>
        <v>197600</v>
      </c>
      <c r="L250" s="86">
        <f>SUM(L249)</f>
        <v>0</v>
      </c>
      <c r="M250" s="3">
        <f t="shared" si="37"/>
        <v>197600</v>
      </c>
      <c r="N250" s="68">
        <f t="shared" si="40"/>
        <v>0.4391111111111111</v>
      </c>
    </row>
    <row r="251" spans="1:14" s="5" customFormat="1" ht="21" customHeight="1">
      <c r="A251" s="53"/>
      <c r="B251" s="128" t="s">
        <v>156</v>
      </c>
      <c r="C251" s="9" t="s">
        <v>233</v>
      </c>
      <c r="D251" s="76"/>
      <c r="E251" s="85"/>
      <c r="F251" s="85"/>
      <c r="G251" s="85"/>
      <c r="H251" s="4">
        <f t="shared" si="36"/>
        <v>0</v>
      </c>
      <c r="I251" s="76">
        <v>315.9</v>
      </c>
      <c r="J251" s="85"/>
      <c r="K251" s="85"/>
      <c r="L251" s="85"/>
      <c r="M251" s="4">
        <f t="shared" si="37"/>
        <v>315.9</v>
      </c>
      <c r="N251" s="67"/>
    </row>
    <row r="252" spans="1:14" s="5" customFormat="1" ht="9.75" customHeight="1">
      <c r="A252" s="53"/>
      <c r="B252" s="129"/>
      <c r="C252" s="10" t="s">
        <v>67</v>
      </c>
      <c r="D252" s="76"/>
      <c r="E252" s="76"/>
      <c r="F252" s="85"/>
      <c r="G252" s="85"/>
      <c r="H252" s="4">
        <f t="shared" si="36"/>
        <v>0</v>
      </c>
      <c r="I252" s="76">
        <v>28124.96</v>
      </c>
      <c r="J252" s="76"/>
      <c r="K252" s="85"/>
      <c r="L252" s="85"/>
      <c r="M252" s="4">
        <f t="shared" si="37"/>
        <v>28124.96</v>
      </c>
      <c r="N252" s="67"/>
    </row>
    <row r="253" spans="1:14" ht="39" customHeight="1">
      <c r="A253" s="52"/>
      <c r="B253" s="129"/>
      <c r="C253" s="9" t="s">
        <v>115</v>
      </c>
      <c r="D253" s="84"/>
      <c r="E253" s="84"/>
      <c r="F253" s="84">
        <f>4743000+7000</f>
        <v>4750000</v>
      </c>
      <c r="G253" s="84"/>
      <c r="H253" s="4">
        <f t="shared" si="36"/>
        <v>4750000</v>
      </c>
      <c r="I253" s="84"/>
      <c r="J253" s="84"/>
      <c r="K253" s="84">
        <v>2311150</v>
      </c>
      <c r="L253" s="84"/>
      <c r="M253" s="4">
        <f t="shared" si="37"/>
        <v>2311150</v>
      </c>
      <c r="N253" s="67">
        <f t="shared" si="40"/>
        <v>0.4865578947368421</v>
      </c>
    </row>
    <row r="254" spans="1:14" ht="29.25" customHeight="1">
      <c r="A254" s="52"/>
      <c r="B254" s="17"/>
      <c r="C254" s="12" t="s">
        <v>91</v>
      </c>
      <c r="D254" s="84">
        <v>260000</v>
      </c>
      <c r="E254" s="84"/>
      <c r="F254" s="84"/>
      <c r="G254" s="84"/>
      <c r="H254" s="4">
        <f t="shared" si="36"/>
        <v>260000</v>
      </c>
      <c r="I254" s="84">
        <v>125060</v>
      </c>
      <c r="J254" s="84"/>
      <c r="K254" s="84"/>
      <c r="L254" s="84"/>
      <c r="M254" s="4">
        <f t="shared" si="37"/>
        <v>125060</v>
      </c>
      <c r="N254" s="67">
        <f t="shared" si="40"/>
        <v>0.481</v>
      </c>
    </row>
    <row r="255" spans="1:14" ht="29.25" customHeight="1">
      <c r="A255" s="52"/>
      <c r="B255" s="17"/>
      <c r="C255" s="12" t="s">
        <v>70</v>
      </c>
      <c r="D255" s="84"/>
      <c r="E255" s="84"/>
      <c r="F255" s="84"/>
      <c r="G255" s="84"/>
      <c r="H255" s="4">
        <f t="shared" si="36"/>
        <v>0</v>
      </c>
      <c r="I255" s="84">
        <v>0.44</v>
      </c>
      <c r="J255" s="84"/>
      <c r="K255" s="84"/>
      <c r="L255" s="84"/>
      <c r="M255" s="4">
        <f t="shared" si="37"/>
        <v>0.44</v>
      </c>
      <c r="N255" s="67"/>
    </row>
    <row r="256" spans="1:14" ht="28.5" customHeight="1">
      <c r="A256" s="52"/>
      <c r="B256" s="9"/>
      <c r="C256" s="10" t="s">
        <v>186</v>
      </c>
      <c r="D256" s="84"/>
      <c r="E256" s="84"/>
      <c r="F256" s="84"/>
      <c r="G256" s="84"/>
      <c r="H256" s="4">
        <f t="shared" si="36"/>
        <v>0</v>
      </c>
      <c r="I256" s="84">
        <v>9288.51</v>
      </c>
      <c r="J256" s="84"/>
      <c r="K256" s="84"/>
      <c r="L256" s="84"/>
      <c r="M256" s="4">
        <f t="shared" si="37"/>
        <v>9288.51</v>
      </c>
      <c r="N256" s="67"/>
    </row>
    <row r="257" spans="1:14" ht="12" customHeight="1">
      <c r="A257" s="52"/>
      <c r="B257" s="21" t="s">
        <v>157</v>
      </c>
      <c r="C257" s="18"/>
      <c r="D257" s="86">
        <f>SUM(D251:D256)</f>
        <v>260000</v>
      </c>
      <c r="E257" s="86">
        <f>SUM(E251:E256)</f>
        <v>0</v>
      </c>
      <c r="F257" s="86">
        <f>SUM(F251:F256)</f>
        <v>4750000</v>
      </c>
      <c r="G257" s="86">
        <f>SUM(G251:G256)</f>
        <v>0</v>
      </c>
      <c r="H257" s="3">
        <f t="shared" si="36"/>
        <v>5010000</v>
      </c>
      <c r="I257" s="86">
        <f>SUM(I251:I256)</f>
        <v>162789.81</v>
      </c>
      <c r="J257" s="86">
        <f>SUM(J251:J256)</f>
        <v>0</v>
      </c>
      <c r="K257" s="86">
        <f>SUM(K251:K256)</f>
        <v>2311150</v>
      </c>
      <c r="L257" s="86">
        <f>SUM(L251:L256)</f>
        <v>0</v>
      </c>
      <c r="M257" s="3">
        <f t="shared" si="37"/>
        <v>2473939.81</v>
      </c>
      <c r="N257" s="68">
        <f>M257/H257</f>
        <v>0.49380036127744514</v>
      </c>
    </row>
    <row r="258" spans="1:14" s="5" customFormat="1" ht="21" customHeight="1">
      <c r="A258" s="53"/>
      <c r="B258" s="128" t="s">
        <v>193</v>
      </c>
      <c r="C258" s="12" t="s">
        <v>78</v>
      </c>
      <c r="D258" s="85"/>
      <c r="E258" s="85"/>
      <c r="F258" s="85"/>
      <c r="G258" s="85"/>
      <c r="H258" s="4">
        <f t="shared" si="36"/>
        <v>0</v>
      </c>
      <c r="I258" s="84">
        <v>153.84</v>
      </c>
      <c r="J258" s="85"/>
      <c r="K258" s="85"/>
      <c r="L258" s="85"/>
      <c r="M258" s="4">
        <f t="shared" si="37"/>
        <v>153.84</v>
      </c>
      <c r="N258" s="67"/>
    </row>
    <row r="259" spans="1:14" ht="13.5" customHeight="1">
      <c r="A259" s="52"/>
      <c r="B259" s="130"/>
      <c r="C259" s="10" t="s">
        <v>67</v>
      </c>
      <c r="D259" s="84"/>
      <c r="E259" s="84"/>
      <c r="F259" s="84"/>
      <c r="G259" s="84"/>
      <c r="H259" s="4">
        <f t="shared" si="36"/>
        <v>0</v>
      </c>
      <c r="I259" s="84">
        <v>1025.44</v>
      </c>
      <c r="J259" s="84"/>
      <c r="K259" s="84"/>
      <c r="L259" s="84"/>
      <c r="M259" s="4">
        <f t="shared" si="37"/>
        <v>1025.44</v>
      </c>
      <c r="N259" s="67"/>
    </row>
    <row r="260" spans="1:14" ht="11.25" customHeight="1">
      <c r="A260" s="52"/>
      <c r="B260" s="21" t="s">
        <v>194</v>
      </c>
      <c r="C260" s="18"/>
      <c r="D260" s="86">
        <f>SUM(D258:D259)</f>
        <v>0</v>
      </c>
      <c r="E260" s="86">
        <f>SUM(E258:E259)</f>
        <v>0</v>
      </c>
      <c r="F260" s="86">
        <f>SUM(F258:F259)</f>
        <v>0</v>
      </c>
      <c r="G260" s="86">
        <f>SUM(G258:G259)</f>
        <v>0</v>
      </c>
      <c r="H260" s="3">
        <f t="shared" si="36"/>
        <v>0</v>
      </c>
      <c r="I260" s="86">
        <f>SUM(I258:I259)</f>
        <v>1179.28</v>
      </c>
      <c r="J260" s="86">
        <f>SUM(J258:J259)</f>
        <v>0</v>
      </c>
      <c r="K260" s="86">
        <f>SUM(K258:K259)</f>
        <v>0</v>
      </c>
      <c r="L260" s="86">
        <f>SUM(L258:L259)</f>
        <v>0</v>
      </c>
      <c r="M260" s="3">
        <f t="shared" si="37"/>
        <v>1179.28</v>
      </c>
      <c r="N260" s="68"/>
    </row>
    <row r="261" spans="1:14" s="5" customFormat="1" ht="14.25" customHeight="1">
      <c r="A261" s="53"/>
      <c r="B261" s="128" t="s">
        <v>100</v>
      </c>
      <c r="C261" s="10" t="s">
        <v>67</v>
      </c>
      <c r="D261" s="76"/>
      <c r="E261" s="85"/>
      <c r="F261" s="85"/>
      <c r="G261" s="85"/>
      <c r="H261" s="4">
        <f t="shared" si="36"/>
        <v>0</v>
      </c>
      <c r="I261" s="76">
        <v>3217.68</v>
      </c>
      <c r="J261" s="85"/>
      <c r="K261" s="85"/>
      <c r="L261" s="85"/>
      <c r="M261" s="4">
        <f t="shared" si="37"/>
        <v>3217.68</v>
      </c>
      <c r="N261" s="67"/>
    </row>
    <row r="262" spans="1:14" ht="30.75" customHeight="1">
      <c r="A262" s="52"/>
      <c r="B262" s="129"/>
      <c r="C262" s="10" t="s">
        <v>91</v>
      </c>
      <c r="D262" s="84">
        <f>1483000+92748</f>
        <v>1575748</v>
      </c>
      <c r="E262" s="84"/>
      <c r="F262" s="84"/>
      <c r="G262" s="84"/>
      <c r="H262" s="4">
        <f t="shared" si="36"/>
        <v>1575748</v>
      </c>
      <c r="I262" s="84">
        <v>875348</v>
      </c>
      <c r="J262" s="84"/>
      <c r="K262" s="84"/>
      <c r="L262" s="84"/>
      <c r="M262" s="4">
        <f t="shared" si="37"/>
        <v>875348</v>
      </c>
      <c r="N262" s="67">
        <f>M262/H262</f>
        <v>0.5555126835001536</v>
      </c>
    </row>
    <row r="263" spans="1:14" ht="10.5" customHeight="1">
      <c r="A263" s="52"/>
      <c r="B263" s="130"/>
      <c r="C263" s="55" t="s">
        <v>179</v>
      </c>
      <c r="D263" s="84"/>
      <c r="E263" s="84"/>
      <c r="F263" s="84"/>
      <c r="G263" s="84"/>
      <c r="H263" s="4">
        <f t="shared" si="36"/>
        <v>0</v>
      </c>
      <c r="I263" s="84">
        <v>1706.59</v>
      </c>
      <c r="J263" s="84"/>
      <c r="K263" s="84"/>
      <c r="L263" s="84"/>
      <c r="M263" s="4">
        <f t="shared" si="37"/>
        <v>1706.59</v>
      </c>
      <c r="N263" s="67"/>
    </row>
    <row r="264" spans="1:14" ht="10.5" customHeight="1">
      <c r="A264" s="52"/>
      <c r="B264" s="21" t="s">
        <v>158</v>
      </c>
      <c r="C264" s="18"/>
      <c r="D264" s="86">
        <f>SUM(D261:D263)</f>
        <v>1575748</v>
      </c>
      <c r="E264" s="86">
        <f>SUM(E261:E263)</f>
        <v>0</v>
      </c>
      <c r="F264" s="86">
        <f>SUM(F261:F263)</f>
        <v>0</v>
      </c>
      <c r="G264" s="86">
        <f>SUM(G261:G263)</f>
        <v>0</v>
      </c>
      <c r="H264" s="3">
        <f t="shared" si="36"/>
        <v>1575748</v>
      </c>
      <c r="I264" s="86">
        <f>SUM(I261:I263)</f>
        <v>880272.27</v>
      </c>
      <c r="J264" s="86">
        <f>SUM(J261:J263)</f>
        <v>0</v>
      </c>
      <c r="K264" s="86">
        <f>SUM(K261:K263)</f>
        <v>0</v>
      </c>
      <c r="L264" s="86">
        <f>SUM(L261:L263)</f>
        <v>0</v>
      </c>
      <c r="M264" s="3">
        <f t="shared" si="37"/>
        <v>880272.27</v>
      </c>
      <c r="N264" s="68">
        <f>M264/H264</f>
        <v>0.55863771999076</v>
      </c>
    </row>
    <row r="265" spans="1:14" ht="12" customHeight="1">
      <c r="A265" s="52"/>
      <c r="B265" s="128" t="s">
        <v>159</v>
      </c>
      <c r="C265" s="9" t="s">
        <v>69</v>
      </c>
      <c r="D265" s="84">
        <f>406000</f>
        <v>406000</v>
      </c>
      <c r="E265" s="84"/>
      <c r="F265" s="76"/>
      <c r="G265" s="84"/>
      <c r="H265" s="4">
        <f t="shared" si="36"/>
        <v>406000</v>
      </c>
      <c r="I265" s="84">
        <v>196632.25</v>
      </c>
      <c r="J265" s="84"/>
      <c r="K265" s="76"/>
      <c r="L265" s="84"/>
      <c r="M265" s="4">
        <f t="shared" si="37"/>
        <v>196632.25</v>
      </c>
      <c r="N265" s="67">
        <f>M265/H265</f>
        <v>0.48431588669950737</v>
      </c>
    </row>
    <row r="266" spans="1:14" ht="29.25" customHeight="1">
      <c r="A266" s="52"/>
      <c r="B266" s="129"/>
      <c r="C266" s="9" t="s">
        <v>233</v>
      </c>
      <c r="D266" s="84"/>
      <c r="E266" s="84"/>
      <c r="F266" s="76"/>
      <c r="G266" s="84"/>
      <c r="H266" s="4">
        <f t="shared" si="36"/>
        <v>0</v>
      </c>
      <c r="I266" s="84">
        <v>2.3</v>
      </c>
      <c r="J266" s="84"/>
      <c r="K266" s="76"/>
      <c r="L266" s="84"/>
      <c r="M266" s="4">
        <f t="shared" si="37"/>
        <v>2.3</v>
      </c>
      <c r="N266" s="67"/>
    </row>
    <row r="267" spans="1:14" ht="40.5" customHeight="1">
      <c r="A267" s="52"/>
      <c r="B267" s="17"/>
      <c r="C267" s="10" t="s">
        <v>115</v>
      </c>
      <c r="D267" s="84"/>
      <c r="E267" s="84"/>
      <c r="F267" s="84">
        <v>540000</v>
      </c>
      <c r="G267" s="84"/>
      <c r="H267" s="4">
        <f t="shared" si="36"/>
        <v>540000</v>
      </c>
      <c r="I267" s="84"/>
      <c r="J267" s="84"/>
      <c r="K267" s="84">
        <v>219300</v>
      </c>
      <c r="L267" s="84"/>
      <c r="M267" s="4">
        <f t="shared" si="37"/>
        <v>219300</v>
      </c>
      <c r="N267" s="67">
        <f>M267/H267</f>
        <v>0.4061111111111111</v>
      </c>
    </row>
    <row r="268" spans="1:14" ht="28.5" customHeight="1">
      <c r="A268" s="52"/>
      <c r="B268" s="17"/>
      <c r="C268" s="12" t="s">
        <v>70</v>
      </c>
      <c r="D268" s="76">
        <v>2095</v>
      </c>
      <c r="E268" s="84"/>
      <c r="F268" s="84"/>
      <c r="G268" s="84"/>
      <c r="H268" s="4">
        <f t="shared" si="36"/>
        <v>2095</v>
      </c>
      <c r="I268" s="76">
        <v>909.75</v>
      </c>
      <c r="J268" s="84"/>
      <c r="K268" s="84"/>
      <c r="L268" s="84"/>
      <c r="M268" s="4">
        <f t="shared" si="37"/>
        <v>909.75</v>
      </c>
      <c r="N268" s="67">
        <f>M268/H268</f>
        <v>0.4342482100238663</v>
      </c>
    </row>
    <row r="269" spans="1:14" ht="9.75" customHeight="1">
      <c r="A269" s="52"/>
      <c r="B269" s="21" t="s">
        <v>160</v>
      </c>
      <c r="C269" s="18"/>
      <c r="D269" s="86">
        <f>SUM(D265:D268)</f>
        <v>408095</v>
      </c>
      <c r="E269" s="86">
        <f>SUM(E265:E268)</f>
        <v>0</v>
      </c>
      <c r="F269" s="86">
        <f>SUM(F265:F268)</f>
        <v>540000</v>
      </c>
      <c r="G269" s="86">
        <f>SUM(G265:G268)</f>
        <v>0</v>
      </c>
      <c r="H269" s="3">
        <f aca="true" t="shared" si="41" ref="H269:H306">SUM(D269:G269)</f>
        <v>948095</v>
      </c>
      <c r="I269" s="86">
        <f>SUM(I265:I268)</f>
        <v>197544.3</v>
      </c>
      <c r="J269" s="86">
        <f>SUM(J265:J268)</f>
        <v>0</v>
      </c>
      <c r="K269" s="86">
        <f>SUM(K265:K268)</f>
        <v>219300</v>
      </c>
      <c r="L269" s="86">
        <f>SUM(L265:L268)</f>
        <v>0</v>
      </c>
      <c r="M269" s="3">
        <f aca="true" t="shared" si="42" ref="M269:M306">SUM(I269:L269)</f>
        <v>416844.3</v>
      </c>
      <c r="N269" s="68">
        <f>M269/H269</f>
        <v>0.43966511794704116</v>
      </c>
    </row>
    <row r="270" spans="1:14" s="5" customFormat="1" ht="12" customHeight="1">
      <c r="A270" s="53"/>
      <c r="B270" s="128" t="s">
        <v>169</v>
      </c>
      <c r="C270" s="10" t="s">
        <v>67</v>
      </c>
      <c r="D270" s="76"/>
      <c r="E270" s="85"/>
      <c r="F270" s="85"/>
      <c r="G270" s="85"/>
      <c r="H270" s="4">
        <f t="shared" si="41"/>
        <v>0</v>
      </c>
      <c r="I270" s="76">
        <v>33622.65</v>
      </c>
      <c r="J270" s="85"/>
      <c r="K270" s="85"/>
      <c r="L270" s="85"/>
      <c r="M270" s="4">
        <f t="shared" si="42"/>
        <v>33622.65</v>
      </c>
      <c r="N270" s="67"/>
    </row>
    <row r="271" spans="1:14" s="5" customFormat="1" ht="28.5" customHeight="1">
      <c r="A271" s="53"/>
      <c r="B271" s="129"/>
      <c r="C271" s="47" t="s">
        <v>91</v>
      </c>
      <c r="D271" s="76">
        <f>955000+100000</f>
        <v>1055000</v>
      </c>
      <c r="E271" s="76"/>
      <c r="F271" s="76"/>
      <c r="G271" s="76"/>
      <c r="H271" s="4">
        <f t="shared" si="41"/>
        <v>1055000</v>
      </c>
      <c r="I271" s="76">
        <v>676000</v>
      </c>
      <c r="J271" s="76"/>
      <c r="K271" s="76"/>
      <c r="L271" s="76"/>
      <c r="M271" s="4">
        <f t="shared" si="42"/>
        <v>676000</v>
      </c>
      <c r="N271" s="67">
        <f aca="true" t="shared" si="43" ref="N271:N276">M271/H271</f>
        <v>0.6407582938388625</v>
      </c>
    </row>
    <row r="272" spans="1:14" s="5" customFormat="1" ht="38.25" customHeight="1">
      <c r="A272" s="53"/>
      <c r="B272" s="17"/>
      <c r="C272" s="17" t="s">
        <v>63</v>
      </c>
      <c r="D272" s="76"/>
      <c r="E272" s="76"/>
      <c r="F272" s="76"/>
      <c r="G272" s="76">
        <v>43500</v>
      </c>
      <c r="H272" s="4">
        <f t="shared" si="41"/>
        <v>43500</v>
      </c>
      <c r="I272" s="76"/>
      <c r="J272" s="76"/>
      <c r="K272" s="76"/>
      <c r="L272" s="76">
        <v>21600</v>
      </c>
      <c r="M272" s="4">
        <f t="shared" si="42"/>
        <v>21600</v>
      </c>
      <c r="N272" s="67">
        <f t="shared" si="43"/>
        <v>0.496551724137931</v>
      </c>
    </row>
    <row r="273" spans="1:14" ht="9" customHeight="1">
      <c r="A273" s="52"/>
      <c r="B273" s="25" t="s">
        <v>170</v>
      </c>
      <c r="C273" s="22"/>
      <c r="D273" s="86">
        <f>SUM(D270:D272)</f>
        <v>1055000</v>
      </c>
      <c r="E273" s="86">
        <f>SUM(E270:E272)</f>
        <v>0</v>
      </c>
      <c r="F273" s="86">
        <f>SUM(F270:F272)</f>
        <v>0</v>
      </c>
      <c r="G273" s="86">
        <f>SUM(G270:G272)</f>
        <v>43500</v>
      </c>
      <c r="H273" s="3">
        <f t="shared" si="41"/>
        <v>1098500</v>
      </c>
      <c r="I273" s="86">
        <f>SUM(I270:I272)</f>
        <v>709622.65</v>
      </c>
      <c r="J273" s="86">
        <f>SUM(J270:J272)</f>
        <v>0</v>
      </c>
      <c r="K273" s="86">
        <f>SUM(K270:K272)</f>
        <v>0</v>
      </c>
      <c r="L273" s="86">
        <f>SUM(L270:L272)</f>
        <v>21600</v>
      </c>
      <c r="M273" s="3">
        <f t="shared" si="42"/>
        <v>731222.65</v>
      </c>
      <c r="N273" s="68">
        <f t="shared" si="43"/>
        <v>0.6656555757851617</v>
      </c>
    </row>
    <row r="274" spans="1:14" ht="11.25">
      <c r="A274" s="23" t="s">
        <v>95</v>
      </c>
      <c r="B274" s="24"/>
      <c r="C274" s="14"/>
      <c r="D274" s="87">
        <f>SUM(D273,D269,D264,D260,D257,D250,D248,D244,D238,D232,D227)</f>
        <v>3828888</v>
      </c>
      <c r="E274" s="87">
        <f>SUM(E273,E269,E264,E260,E257,E250,E248,E244,E238,E232,E227)</f>
        <v>1793067</v>
      </c>
      <c r="F274" s="87">
        <f aca="true" t="shared" si="44" ref="F274:M274">SUM(F273,F269,F264,F260,F257,F250,F248,F244,F238,F232,F227)</f>
        <v>46883960</v>
      </c>
      <c r="G274" s="87">
        <f t="shared" si="44"/>
        <v>397500</v>
      </c>
      <c r="H274" s="87">
        <f t="shared" si="44"/>
        <v>52903415</v>
      </c>
      <c r="I274" s="87">
        <f t="shared" si="44"/>
        <v>2524609.7199999997</v>
      </c>
      <c r="J274" s="87">
        <f t="shared" si="44"/>
        <v>1070679.13</v>
      </c>
      <c r="K274" s="87">
        <f t="shared" si="44"/>
        <v>20486883</v>
      </c>
      <c r="L274" s="87">
        <f t="shared" si="44"/>
        <v>198600</v>
      </c>
      <c r="M274" s="87">
        <f t="shared" si="44"/>
        <v>24280771.850000005</v>
      </c>
      <c r="N274" s="69">
        <f t="shared" si="43"/>
        <v>0.45896416800314316</v>
      </c>
    </row>
    <row r="275" spans="1:14" s="5" customFormat="1" ht="50.25" customHeight="1">
      <c r="A275" s="134" t="s">
        <v>101</v>
      </c>
      <c r="B275" s="128" t="s">
        <v>44</v>
      </c>
      <c r="C275" s="10" t="s">
        <v>94</v>
      </c>
      <c r="D275" s="88"/>
      <c r="E275" s="88"/>
      <c r="F275" s="88"/>
      <c r="G275" s="88"/>
      <c r="H275" s="4">
        <f t="shared" si="41"/>
        <v>0</v>
      </c>
      <c r="I275" s="76">
        <v>156156.2</v>
      </c>
      <c r="J275" s="88"/>
      <c r="K275" s="88"/>
      <c r="L275" s="88"/>
      <c r="M275" s="4">
        <f t="shared" si="42"/>
        <v>156156.2</v>
      </c>
      <c r="N275" s="67"/>
    </row>
    <row r="276" spans="1:14" s="5" customFormat="1" ht="9.75" customHeight="1">
      <c r="A276" s="135"/>
      <c r="B276" s="129"/>
      <c r="C276" s="10" t="s">
        <v>69</v>
      </c>
      <c r="D276" s="84">
        <v>277295</v>
      </c>
      <c r="E276" s="88"/>
      <c r="F276" s="88"/>
      <c r="G276" s="88"/>
      <c r="H276" s="4">
        <f t="shared" si="41"/>
        <v>277295</v>
      </c>
      <c r="I276" s="84"/>
      <c r="J276" s="88"/>
      <c r="K276" s="88"/>
      <c r="L276" s="88"/>
      <c r="M276" s="4">
        <f t="shared" si="42"/>
        <v>0</v>
      </c>
      <c r="N276" s="67">
        <f t="shared" si="43"/>
        <v>0</v>
      </c>
    </row>
    <row r="277" spans="1:14" ht="9" customHeight="1">
      <c r="A277" s="135"/>
      <c r="B277" s="129"/>
      <c r="C277" s="10" t="s">
        <v>65</v>
      </c>
      <c r="D277" s="84"/>
      <c r="E277" s="84"/>
      <c r="F277" s="84"/>
      <c r="G277" s="84"/>
      <c r="H277" s="4">
        <f t="shared" si="41"/>
        <v>0</v>
      </c>
      <c r="I277" s="84">
        <v>81.9</v>
      </c>
      <c r="J277" s="84"/>
      <c r="K277" s="84"/>
      <c r="L277" s="84"/>
      <c r="M277" s="4">
        <f t="shared" si="42"/>
        <v>81.9</v>
      </c>
      <c r="N277" s="67"/>
    </row>
    <row r="278" spans="1:14" ht="9.75">
      <c r="A278" s="135"/>
      <c r="B278" s="18" t="s">
        <v>161</v>
      </c>
      <c r="C278" s="18"/>
      <c r="D278" s="86">
        <f>SUM(D275:D277)</f>
        <v>277295</v>
      </c>
      <c r="E278" s="86">
        <f>SUM(E275:E277)</f>
        <v>0</v>
      </c>
      <c r="F278" s="86">
        <f>SUM(F275:F277)</f>
        <v>0</v>
      </c>
      <c r="G278" s="86">
        <f>SUM(G275:G277)</f>
        <v>0</v>
      </c>
      <c r="H278" s="3">
        <f t="shared" si="41"/>
        <v>277295</v>
      </c>
      <c r="I278" s="86">
        <f>SUM(I275:I277)</f>
        <v>156238.1</v>
      </c>
      <c r="J278" s="86">
        <f>SUM(J275:J277)</f>
        <v>0</v>
      </c>
      <c r="K278" s="86">
        <f>SUM(K275:K277)</f>
        <v>0</v>
      </c>
      <c r="L278" s="86">
        <f>SUM(L275:L277)</f>
        <v>0</v>
      </c>
      <c r="M278" s="3">
        <f t="shared" si="42"/>
        <v>156238.1</v>
      </c>
      <c r="N278" s="68">
        <f>M278/H278</f>
        <v>0.5634364124848987</v>
      </c>
    </row>
    <row r="279" spans="1:14" s="5" customFormat="1" ht="11.25" customHeight="1">
      <c r="A279" s="135"/>
      <c r="B279" s="128" t="s">
        <v>195</v>
      </c>
      <c r="C279" s="10" t="s">
        <v>64</v>
      </c>
      <c r="D279" s="85"/>
      <c r="E279" s="85"/>
      <c r="F279" s="85"/>
      <c r="G279" s="85"/>
      <c r="H279" s="4">
        <f t="shared" si="41"/>
        <v>0</v>
      </c>
      <c r="I279" s="85"/>
      <c r="J279" s="76">
        <v>2466</v>
      </c>
      <c r="K279" s="85"/>
      <c r="L279" s="85"/>
      <c r="M279" s="4">
        <f t="shared" si="42"/>
        <v>2466</v>
      </c>
      <c r="N279" s="67"/>
    </row>
    <row r="280" spans="1:14" s="5" customFormat="1" ht="28.5" customHeight="1">
      <c r="A280" s="135"/>
      <c r="B280" s="129"/>
      <c r="C280" s="9" t="s">
        <v>233</v>
      </c>
      <c r="D280" s="85"/>
      <c r="E280" s="85"/>
      <c r="F280" s="85"/>
      <c r="G280" s="85"/>
      <c r="H280" s="4">
        <f t="shared" si="41"/>
        <v>0</v>
      </c>
      <c r="I280" s="84">
        <v>8.92</v>
      </c>
      <c r="J280" s="76">
        <v>3.88</v>
      </c>
      <c r="K280" s="85"/>
      <c r="L280" s="85"/>
      <c r="M280" s="4">
        <f t="shared" si="42"/>
        <v>12.8</v>
      </c>
      <c r="N280" s="67"/>
    </row>
    <row r="281" spans="1:14" s="5" customFormat="1" ht="9.75" customHeight="1">
      <c r="A281" s="135"/>
      <c r="B281" s="17"/>
      <c r="C281" s="10" t="s">
        <v>65</v>
      </c>
      <c r="D281" s="104"/>
      <c r="E281" s="76"/>
      <c r="F281" s="85"/>
      <c r="G281" s="85"/>
      <c r="H281" s="4">
        <f t="shared" si="41"/>
        <v>0</v>
      </c>
      <c r="I281" s="97"/>
      <c r="J281" s="76">
        <v>1.46</v>
      </c>
      <c r="K281" s="85"/>
      <c r="L281" s="85"/>
      <c r="M281" s="4">
        <f t="shared" si="42"/>
        <v>1.46</v>
      </c>
      <c r="N281" s="67"/>
    </row>
    <row r="282" spans="1:14" ht="28.5" customHeight="1">
      <c r="A282" s="135"/>
      <c r="B282" s="9"/>
      <c r="C282" s="10" t="s">
        <v>186</v>
      </c>
      <c r="D282" s="84"/>
      <c r="E282" s="84"/>
      <c r="F282" s="84"/>
      <c r="G282" s="84"/>
      <c r="H282" s="4">
        <f t="shared" si="41"/>
        <v>0</v>
      </c>
      <c r="I282" s="84">
        <v>8630.64</v>
      </c>
      <c r="J282" s="84">
        <v>393.26</v>
      </c>
      <c r="K282" s="84"/>
      <c r="L282" s="84"/>
      <c r="M282" s="4">
        <f t="shared" si="42"/>
        <v>9023.9</v>
      </c>
      <c r="N282" s="67"/>
    </row>
    <row r="283" spans="1:14" ht="9.75">
      <c r="A283" s="43"/>
      <c r="B283" s="25" t="s">
        <v>195</v>
      </c>
      <c r="C283" s="18"/>
      <c r="D283" s="86">
        <f>SUM(D279:D282)</f>
        <v>0</v>
      </c>
      <c r="E283" s="86">
        <f>SUM(E279:E282)</f>
        <v>0</v>
      </c>
      <c r="F283" s="86">
        <f>SUM(F279:F282)</f>
        <v>0</v>
      </c>
      <c r="G283" s="86">
        <f>SUM(G279:G282)</f>
        <v>0</v>
      </c>
      <c r="H283" s="3">
        <f t="shared" si="41"/>
        <v>0</v>
      </c>
      <c r="I283" s="86">
        <f>SUM(I279:I282)</f>
        <v>8639.56</v>
      </c>
      <c r="J283" s="86">
        <f>SUM(J279:J282)</f>
        <v>2864.6000000000004</v>
      </c>
      <c r="K283" s="86">
        <f>SUM(K279:K282)</f>
        <v>0</v>
      </c>
      <c r="L283" s="86">
        <f>SUM(L279:L282)</f>
        <v>0</v>
      </c>
      <c r="M283" s="3">
        <f t="shared" si="42"/>
        <v>11504.16</v>
      </c>
      <c r="N283" s="68"/>
    </row>
    <row r="284" spans="1:14" ht="38.25" customHeight="1">
      <c r="A284" s="43"/>
      <c r="B284" s="128" t="s">
        <v>162</v>
      </c>
      <c r="C284" s="10" t="s">
        <v>63</v>
      </c>
      <c r="D284" s="84"/>
      <c r="E284" s="84"/>
      <c r="F284" s="84"/>
      <c r="G284" s="84">
        <v>300000</v>
      </c>
      <c r="H284" s="4">
        <f t="shared" si="41"/>
        <v>300000</v>
      </c>
      <c r="I284" s="84"/>
      <c r="J284" s="84"/>
      <c r="K284" s="84"/>
      <c r="L284" s="84">
        <v>143000</v>
      </c>
      <c r="M284" s="4">
        <f t="shared" si="42"/>
        <v>143000</v>
      </c>
      <c r="N284" s="67">
        <f>M284/H284</f>
        <v>0.4766666666666667</v>
      </c>
    </row>
    <row r="285" spans="1:14" ht="30" customHeight="1">
      <c r="A285" s="43"/>
      <c r="B285" s="130"/>
      <c r="C285" s="10" t="s">
        <v>75</v>
      </c>
      <c r="D285" s="84"/>
      <c r="E285" s="84">
        <v>47000</v>
      </c>
      <c r="F285" s="84"/>
      <c r="G285" s="84"/>
      <c r="H285" s="4">
        <f t="shared" si="41"/>
        <v>47000</v>
      </c>
      <c r="I285" s="84"/>
      <c r="J285" s="84">
        <v>31734</v>
      </c>
      <c r="K285" s="84"/>
      <c r="L285" s="84"/>
      <c r="M285" s="4">
        <f t="shared" si="42"/>
        <v>31734</v>
      </c>
      <c r="N285" s="67">
        <f>M285/H285</f>
        <v>0.6751914893617021</v>
      </c>
    </row>
    <row r="286" spans="1:14" ht="9.75">
      <c r="A286" s="43"/>
      <c r="B286" s="32" t="s">
        <v>163</v>
      </c>
      <c r="C286" s="18"/>
      <c r="D286" s="86">
        <f>SUM(D284:D285)</f>
        <v>0</v>
      </c>
      <c r="E286" s="86">
        <f>SUM(E284:E285)</f>
        <v>47000</v>
      </c>
      <c r="F286" s="86">
        <f>SUM(F284:F285)</f>
        <v>0</v>
      </c>
      <c r="G286" s="86">
        <f>SUM(G284:G285)</f>
        <v>300000</v>
      </c>
      <c r="H286" s="3">
        <f t="shared" si="41"/>
        <v>347000</v>
      </c>
      <c r="I286" s="86">
        <f>SUM(I284:I285)</f>
        <v>0</v>
      </c>
      <c r="J286" s="86">
        <f>SUM(J284:J285)</f>
        <v>31734</v>
      </c>
      <c r="K286" s="86">
        <f>SUM(K284:K285)</f>
        <v>0</v>
      </c>
      <c r="L286" s="86">
        <f>SUM(L284:L285)</f>
        <v>143000</v>
      </c>
      <c r="M286" s="3">
        <f t="shared" si="42"/>
        <v>174734</v>
      </c>
      <c r="N286" s="68">
        <f>M286/H286</f>
        <v>0.5035561959654179</v>
      </c>
    </row>
    <row r="287" spans="1:14" s="5" customFormat="1" ht="51" customHeight="1">
      <c r="A287" s="43"/>
      <c r="B287" s="128" t="s">
        <v>45</v>
      </c>
      <c r="C287" s="10" t="s">
        <v>94</v>
      </c>
      <c r="D287" s="85"/>
      <c r="E287" s="76"/>
      <c r="F287" s="85"/>
      <c r="G287" s="85"/>
      <c r="H287" s="4">
        <f t="shared" si="41"/>
        <v>0</v>
      </c>
      <c r="I287" s="85"/>
      <c r="J287" s="76">
        <v>900</v>
      </c>
      <c r="K287" s="85"/>
      <c r="L287" s="85"/>
      <c r="M287" s="4">
        <f t="shared" si="42"/>
        <v>900</v>
      </c>
      <c r="N287" s="67"/>
    </row>
    <row r="288" spans="1:16" s="5" customFormat="1" ht="10.5" customHeight="1">
      <c r="A288" s="43"/>
      <c r="B288" s="129"/>
      <c r="C288" s="10" t="s">
        <v>65</v>
      </c>
      <c r="D288" s="85"/>
      <c r="E288" s="76"/>
      <c r="F288" s="85"/>
      <c r="G288" s="85"/>
      <c r="H288" s="4">
        <f t="shared" si="41"/>
        <v>0</v>
      </c>
      <c r="I288" s="85"/>
      <c r="J288" s="76">
        <v>361.61</v>
      </c>
      <c r="K288" s="85"/>
      <c r="L288" s="85"/>
      <c r="M288" s="4">
        <f t="shared" si="42"/>
        <v>361.61</v>
      </c>
      <c r="N288" s="67"/>
      <c r="P288" s="5" t="s">
        <v>281</v>
      </c>
    </row>
    <row r="289" spans="1:14" s="5" customFormat="1" ht="10.5" customHeight="1">
      <c r="A289" s="43"/>
      <c r="B289" s="129"/>
      <c r="C289" s="10" t="s">
        <v>67</v>
      </c>
      <c r="D289" s="85"/>
      <c r="E289" s="76"/>
      <c r="F289" s="85"/>
      <c r="G289" s="85"/>
      <c r="H289" s="4">
        <f t="shared" si="41"/>
        <v>0</v>
      </c>
      <c r="I289" s="85"/>
      <c r="J289" s="76">
        <v>31.86</v>
      </c>
      <c r="K289" s="85"/>
      <c r="L289" s="85"/>
      <c r="M289" s="4">
        <f t="shared" si="42"/>
        <v>31.86</v>
      </c>
      <c r="N289" s="67"/>
    </row>
    <row r="290" spans="1:14" s="5" customFormat="1" ht="19.5" customHeight="1">
      <c r="A290" s="43"/>
      <c r="B290" s="129"/>
      <c r="C290" s="10" t="s">
        <v>268</v>
      </c>
      <c r="D290" s="85"/>
      <c r="E290" s="76">
        <f>55386+70312</f>
        <v>125698</v>
      </c>
      <c r="F290" s="85"/>
      <c r="G290" s="85"/>
      <c r="H290" s="4">
        <f t="shared" si="41"/>
        <v>125698</v>
      </c>
      <c r="I290" s="85"/>
      <c r="J290" s="76">
        <v>112846.02</v>
      </c>
      <c r="K290" s="85"/>
      <c r="L290" s="85"/>
      <c r="M290" s="4">
        <f t="shared" si="42"/>
        <v>112846.02</v>
      </c>
      <c r="N290" s="67">
        <f>M290/H290</f>
        <v>0.8977550955464686</v>
      </c>
    </row>
    <row r="291" spans="1:14" ht="30" customHeight="1">
      <c r="A291" s="43"/>
      <c r="B291" s="129"/>
      <c r="C291" s="10" t="s">
        <v>75</v>
      </c>
      <c r="D291" s="84"/>
      <c r="E291" s="84">
        <v>394125</v>
      </c>
      <c r="F291" s="84"/>
      <c r="G291" s="84"/>
      <c r="H291" s="4">
        <f t="shared" si="41"/>
        <v>394125</v>
      </c>
      <c r="I291" s="84"/>
      <c r="J291" s="84">
        <v>197062.5</v>
      </c>
      <c r="K291" s="84"/>
      <c r="L291" s="84"/>
      <c r="M291" s="4">
        <f t="shared" si="42"/>
        <v>197062.5</v>
      </c>
      <c r="N291" s="67">
        <f>M291/H291</f>
        <v>0.5</v>
      </c>
    </row>
    <row r="292" spans="1:16" ht="39.75" customHeight="1">
      <c r="A292" s="43"/>
      <c r="B292" s="129"/>
      <c r="C292" s="10" t="s">
        <v>235</v>
      </c>
      <c r="D292" s="84"/>
      <c r="E292" s="84">
        <v>351500</v>
      </c>
      <c r="F292" s="84"/>
      <c r="G292" s="84"/>
      <c r="H292" s="4">
        <f t="shared" si="41"/>
        <v>351500</v>
      </c>
      <c r="I292" s="84"/>
      <c r="J292" s="84">
        <v>176000</v>
      </c>
      <c r="K292" s="84"/>
      <c r="L292" s="84"/>
      <c r="M292" s="4">
        <f t="shared" si="42"/>
        <v>176000</v>
      </c>
      <c r="N292" s="67">
        <f>M292/H292</f>
        <v>0.5007112375533428</v>
      </c>
      <c r="P292" s="1" t="s">
        <v>282</v>
      </c>
    </row>
    <row r="293" spans="1:14" ht="9.75">
      <c r="A293" s="43"/>
      <c r="B293" s="32" t="s">
        <v>164</v>
      </c>
      <c r="C293" s="18"/>
      <c r="D293" s="86">
        <f>SUM(D287:D292)</f>
        <v>0</v>
      </c>
      <c r="E293" s="86">
        <f>SUM(E287:E292)</f>
        <v>871323</v>
      </c>
      <c r="F293" s="86">
        <f>SUM(F287:F292)</f>
        <v>0</v>
      </c>
      <c r="G293" s="86">
        <f>SUM(G287:G292)</f>
        <v>0</v>
      </c>
      <c r="H293" s="3">
        <f t="shared" si="41"/>
        <v>871323</v>
      </c>
      <c r="I293" s="86">
        <f>SUM(I287:I292)</f>
        <v>0</v>
      </c>
      <c r="J293" s="86">
        <f>SUM(J287:J292)</f>
        <v>487201.99</v>
      </c>
      <c r="K293" s="86">
        <f>SUM(K287:K292)</f>
        <v>0</v>
      </c>
      <c r="L293" s="86">
        <f>SUM(L287:L292)</f>
        <v>0</v>
      </c>
      <c r="M293" s="3">
        <f t="shared" si="42"/>
        <v>487201.99</v>
      </c>
      <c r="N293" s="68">
        <f>M293/H293</f>
        <v>0.5591519907083825</v>
      </c>
    </row>
    <row r="294" spans="1:14" s="5" customFormat="1" ht="9.75" customHeight="1">
      <c r="A294" s="43"/>
      <c r="B294" s="128" t="s">
        <v>224</v>
      </c>
      <c r="C294" s="10" t="s">
        <v>65</v>
      </c>
      <c r="D294" s="76"/>
      <c r="E294" s="85"/>
      <c r="F294" s="85"/>
      <c r="G294" s="85"/>
      <c r="H294" s="4">
        <f t="shared" si="41"/>
        <v>0</v>
      </c>
      <c r="I294" s="76">
        <v>1280.96</v>
      </c>
      <c r="J294" s="85"/>
      <c r="K294" s="85"/>
      <c r="L294" s="85"/>
      <c r="M294" s="4">
        <f t="shared" si="42"/>
        <v>1280.96</v>
      </c>
      <c r="N294" s="67"/>
    </row>
    <row r="295" spans="1:14" s="5" customFormat="1" ht="20.25" customHeight="1">
      <c r="A295" s="43"/>
      <c r="B295" s="129"/>
      <c r="C295" s="10" t="s">
        <v>268</v>
      </c>
      <c r="D295" s="76">
        <f>1871823+884079</f>
        <v>2755902</v>
      </c>
      <c r="E295" s="85"/>
      <c r="F295" s="85"/>
      <c r="G295" s="85"/>
      <c r="H295" s="4">
        <f t="shared" si="41"/>
        <v>2755902</v>
      </c>
      <c r="I295" s="76">
        <v>222735.56</v>
      </c>
      <c r="J295" s="85"/>
      <c r="K295" s="85"/>
      <c r="L295" s="85"/>
      <c r="M295" s="4">
        <f t="shared" si="42"/>
        <v>222735.56</v>
      </c>
      <c r="N295" s="67">
        <f aca="true" t="shared" si="45" ref="N295:N301">M295/H295</f>
        <v>0.0808212919037034</v>
      </c>
    </row>
    <row r="296" spans="1:14" s="5" customFormat="1" ht="20.25" customHeight="1">
      <c r="A296" s="43"/>
      <c r="B296" s="129"/>
      <c r="C296" s="10" t="s">
        <v>270</v>
      </c>
      <c r="D296" s="76">
        <f>115673+18582</f>
        <v>134255</v>
      </c>
      <c r="E296" s="85"/>
      <c r="F296" s="85"/>
      <c r="G296" s="85"/>
      <c r="H296" s="4">
        <f t="shared" si="41"/>
        <v>134255</v>
      </c>
      <c r="I296" s="76">
        <v>5244.84</v>
      </c>
      <c r="J296" s="85"/>
      <c r="K296" s="85"/>
      <c r="L296" s="85"/>
      <c r="M296" s="4">
        <f t="shared" si="42"/>
        <v>5244.84</v>
      </c>
      <c r="N296" s="67">
        <f t="shared" si="45"/>
        <v>0.039066254515660495</v>
      </c>
    </row>
    <row r="297" spans="1:14" s="5" customFormat="1" ht="12.75" customHeight="1">
      <c r="A297" s="43"/>
      <c r="B297" s="17"/>
      <c r="C297" s="10" t="s">
        <v>280</v>
      </c>
      <c r="D297" s="76">
        <v>14620</v>
      </c>
      <c r="E297" s="85"/>
      <c r="F297" s="85"/>
      <c r="G297" s="85"/>
      <c r="H297" s="4">
        <f t="shared" si="41"/>
        <v>14620</v>
      </c>
      <c r="I297" s="76"/>
      <c r="J297" s="85"/>
      <c r="K297" s="85"/>
      <c r="L297" s="85"/>
      <c r="M297" s="4">
        <f t="shared" si="42"/>
        <v>0</v>
      </c>
      <c r="N297" s="67">
        <f t="shared" si="45"/>
        <v>0</v>
      </c>
    </row>
    <row r="298" spans="1:14" s="5" customFormat="1" ht="12" customHeight="1">
      <c r="A298" s="43"/>
      <c r="B298" s="9"/>
      <c r="C298" s="10" t="s">
        <v>279</v>
      </c>
      <c r="D298" s="76">
        <v>2580</v>
      </c>
      <c r="E298" s="85"/>
      <c r="F298" s="85"/>
      <c r="G298" s="85"/>
      <c r="H298" s="4">
        <f t="shared" si="41"/>
        <v>2580</v>
      </c>
      <c r="I298" s="76"/>
      <c r="J298" s="85"/>
      <c r="K298" s="85"/>
      <c r="L298" s="85"/>
      <c r="M298" s="4">
        <f t="shared" si="42"/>
        <v>0</v>
      </c>
      <c r="N298" s="67">
        <f t="shared" si="45"/>
        <v>0</v>
      </c>
    </row>
    <row r="299" spans="1:14" s="5" customFormat="1" ht="12.75" customHeight="1">
      <c r="A299" s="44"/>
      <c r="B299" s="142" t="s">
        <v>225</v>
      </c>
      <c r="C299" s="142"/>
      <c r="D299" s="86">
        <f>SUM(D294:D298)</f>
        <v>2907357</v>
      </c>
      <c r="E299" s="86">
        <f>SUM(E294:E298)</f>
        <v>0</v>
      </c>
      <c r="F299" s="86">
        <f>SUM(F294:F298)</f>
        <v>0</v>
      </c>
      <c r="G299" s="86">
        <f>SUM(G294:G298)</f>
        <v>0</v>
      </c>
      <c r="H299" s="3">
        <f t="shared" si="41"/>
        <v>2907357</v>
      </c>
      <c r="I299" s="86">
        <f>SUM(I294:I298)</f>
        <v>229261.36</v>
      </c>
      <c r="J299" s="86">
        <f>SUM(J294:J298)</f>
        <v>0</v>
      </c>
      <c r="K299" s="86">
        <f>SUM(K294:K298)</f>
        <v>0</v>
      </c>
      <c r="L299" s="86">
        <f>SUM(L294:L298)</f>
        <v>0</v>
      </c>
      <c r="M299" s="3">
        <f t="shared" si="42"/>
        <v>229261.36</v>
      </c>
      <c r="N299" s="68">
        <f t="shared" si="45"/>
        <v>0.07885559289760424</v>
      </c>
    </row>
    <row r="300" spans="1:17" ht="10.5" customHeight="1">
      <c r="A300" s="56" t="s">
        <v>102</v>
      </c>
      <c r="B300" s="27"/>
      <c r="C300" s="28"/>
      <c r="D300" s="87">
        <f>SUM(D293,D286,D283,D278,D299)</f>
        <v>3184652</v>
      </c>
      <c r="E300" s="87">
        <f>SUM(E293,E286,E283,E278,E299)</f>
        <v>918323</v>
      </c>
      <c r="F300" s="87">
        <f>SUM(F293,F286,F283,F278,F299)</f>
        <v>0</v>
      </c>
      <c r="G300" s="87">
        <f>SUM(G293,G286,G283,G278,G299)</f>
        <v>300000</v>
      </c>
      <c r="H300" s="15">
        <f t="shared" si="41"/>
        <v>4402975</v>
      </c>
      <c r="I300" s="87">
        <f>SUM(I293,I286,I283,I278,I299)</f>
        <v>394139.02</v>
      </c>
      <c r="J300" s="87">
        <f>SUM(J293,J286,J283,J278,J299)</f>
        <v>521800.58999999997</v>
      </c>
      <c r="K300" s="87">
        <f>SUM(K293,K286,K283,K278,K299)</f>
        <v>0</v>
      </c>
      <c r="L300" s="87">
        <f>SUM(L293,L286,L283,L278,L299)</f>
        <v>143000</v>
      </c>
      <c r="M300" s="15">
        <f t="shared" si="42"/>
        <v>1058939.6099999999</v>
      </c>
      <c r="N300" s="69">
        <f t="shared" si="45"/>
        <v>0.24050547868202746</v>
      </c>
      <c r="Q300" s="64"/>
    </row>
    <row r="301" spans="1:14" ht="49.5" customHeight="1">
      <c r="A301" s="138" t="s">
        <v>46</v>
      </c>
      <c r="B301" s="128" t="s">
        <v>47</v>
      </c>
      <c r="C301" s="10" t="s">
        <v>94</v>
      </c>
      <c r="D301" s="84"/>
      <c r="E301" s="84">
        <v>32000</v>
      </c>
      <c r="F301" s="84"/>
      <c r="G301" s="84"/>
      <c r="H301" s="4">
        <f t="shared" si="41"/>
        <v>32000</v>
      </c>
      <c r="I301" s="84"/>
      <c r="J301" s="84">
        <v>16160.22</v>
      </c>
      <c r="K301" s="84"/>
      <c r="L301" s="84"/>
      <c r="M301" s="4">
        <f t="shared" si="42"/>
        <v>16160.22</v>
      </c>
      <c r="N301" s="67">
        <f t="shared" si="45"/>
        <v>0.505006875</v>
      </c>
    </row>
    <row r="302" spans="1:14" ht="12.75" customHeight="1">
      <c r="A302" s="140"/>
      <c r="B302" s="129"/>
      <c r="C302" s="10" t="s">
        <v>69</v>
      </c>
      <c r="D302" s="84"/>
      <c r="E302" s="84"/>
      <c r="F302" s="84"/>
      <c r="G302" s="84"/>
      <c r="H302" s="4">
        <f t="shared" si="41"/>
        <v>0</v>
      </c>
      <c r="I302" s="84"/>
      <c r="J302" s="84">
        <v>14643.65</v>
      </c>
      <c r="K302" s="84"/>
      <c r="L302" s="84"/>
      <c r="M302" s="4">
        <f t="shared" si="42"/>
        <v>14643.65</v>
      </c>
      <c r="N302" s="67"/>
    </row>
    <row r="303" spans="1:15" ht="12.75" customHeight="1">
      <c r="A303" s="140"/>
      <c r="B303" s="129"/>
      <c r="C303" s="10" t="s">
        <v>65</v>
      </c>
      <c r="D303" s="84"/>
      <c r="E303" s="84"/>
      <c r="F303" s="84"/>
      <c r="G303" s="84"/>
      <c r="H303" s="4">
        <f t="shared" si="41"/>
        <v>0</v>
      </c>
      <c r="I303" s="84"/>
      <c r="J303" s="84">
        <v>551.97</v>
      </c>
      <c r="K303" s="84"/>
      <c r="L303" s="84"/>
      <c r="M303" s="4">
        <f t="shared" si="42"/>
        <v>551.97</v>
      </c>
      <c r="N303" s="67"/>
      <c r="O303" s="1" t="s">
        <v>255</v>
      </c>
    </row>
    <row r="304" spans="1:14" ht="12.75" customHeight="1">
      <c r="A304" s="140"/>
      <c r="B304" s="129"/>
      <c r="C304" s="10" t="s">
        <v>67</v>
      </c>
      <c r="D304" s="84"/>
      <c r="E304" s="84"/>
      <c r="F304" s="84"/>
      <c r="G304" s="84"/>
      <c r="H304" s="4">
        <f t="shared" si="41"/>
        <v>0</v>
      </c>
      <c r="I304" s="84"/>
      <c r="J304" s="84">
        <v>3.81</v>
      </c>
      <c r="K304" s="84"/>
      <c r="L304" s="84"/>
      <c r="M304" s="4">
        <f t="shared" si="42"/>
        <v>3.81</v>
      </c>
      <c r="N304" s="67"/>
    </row>
    <row r="305" spans="1:14" ht="9.75">
      <c r="A305" s="140"/>
      <c r="B305" s="32" t="s">
        <v>165</v>
      </c>
      <c r="C305" s="18"/>
      <c r="D305" s="86">
        <f>SUM(D301:D304)</f>
        <v>0</v>
      </c>
      <c r="E305" s="86">
        <f>SUM(E301:E304)</f>
        <v>32000</v>
      </c>
      <c r="F305" s="86">
        <f>SUM(F301:F304)</f>
        <v>0</v>
      </c>
      <c r="G305" s="86">
        <f>SUM(G301:G304)</f>
        <v>0</v>
      </c>
      <c r="H305" s="3">
        <f t="shared" si="41"/>
        <v>32000</v>
      </c>
      <c r="I305" s="86">
        <f>SUM(I301:I304)</f>
        <v>0</v>
      </c>
      <c r="J305" s="86">
        <f>SUM(J301:J304)</f>
        <v>31359.65</v>
      </c>
      <c r="K305" s="86">
        <f>SUM(K301:K304)</f>
        <v>0</v>
      </c>
      <c r="L305" s="86">
        <f>SUM(L301:L304)</f>
        <v>0</v>
      </c>
      <c r="M305" s="3">
        <f t="shared" si="42"/>
        <v>31359.65</v>
      </c>
      <c r="N305" s="68">
        <f>M305/H305</f>
        <v>0.9799890625000001</v>
      </c>
    </row>
    <row r="306" spans="1:14" ht="33" customHeight="1">
      <c r="A306" s="140"/>
      <c r="B306" s="8" t="s">
        <v>271</v>
      </c>
      <c r="C306" s="10" t="s">
        <v>186</v>
      </c>
      <c r="D306" s="84"/>
      <c r="E306" s="84">
        <f>14-14</f>
        <v>0</v>
      </c>
      <c r="F306" s="84"/>
      <c r="G306" s="84"/>
      <c r="H306" s="4">
        <f t="shared" si="41"/>
        <v>0</v>
      </c>
      <c r="I306" s="84">
        <v>194.73</v>
      </c>
      <c r="J306" s="84"/>
      <c r="K306" s="84"/>
      <c r="L306" s="84"/>
      <c r="M306" s="4">
        <f t="shared" si="42"/>
        <v>194.73</v>
      </c>
      <c r="N306" s="67"/>
    </row>
    <row r="307" spans="1:14" ht="9.75">
      <c r="A307" s="140"/>
      <c r="B307" s="32" t="s">
        <v>272</v>
      </c>
      <c r="C307" s="18"/>
      <c r="D307" s="86">
        <f>SUM(D306)</f>
        <v>0</v>
      </c>
      <c r="E307" s="86">
        <f>SUM(E306)</f>
        <v>0</v>
      </c>
      <c r="F307" s="86">
        <f>SUM(F306)</f>
        <v>0</v>
      </c>
      <c r="G307" s="86">
        <f>SUM(G306)</f>
        <v>0</v>
      </c>
      <c r="H307" s="3">
        <f>SUM(D307:G307)</f>
        <v>0</v>
      </c>
      <c r="I307" s="86">
        <f>SUM(I306)</f>
        <v>194.73</v>
      </c>
      <c r="J307" s="86">
        <f>SUM(J306)</f>
        <v>0</v>
      </c>
      <c r="K307" s="86">
        <f>SUM(K306)</f>
        <v>0</v>
      </c>
      <c r="L307" s="86">
        <f>SUM(L306)</f>
        <v>0</v>
      </c>
      <c r="M307" s="3">
        <f>SUM(I307:L307)</f>
        <v>194.73</v>
      </c>
      <c r="N307" s="68"/>
    </row>
    <row r="308" spans="1:14" ht="41.25" customHeight="1">
      <c r="A308" s="140"/>
      <c r="B308" s="17" t="s">
        <v>174</v>
      </c>
      <c r="C308" s="10" t="s">
        <v>67</v>
      </c>
      <c r="D308" s="84"/>
      <c r="E308" s="84"/>
      <c r="F308" s="84"/>
      <c r="G308" s="84"/>
      <c r="H308" s="4">
        <f>SUM(D308:G308)</f>
        <v>0</v>
      </c>
      <c r="I308" s="84"/>
      <c r="J308" s="84">
        <v>113</v>
      </c>
      <c r="K308" s="84"/>
      <c r="L308" s="84"/>
      <c r="M308" s="4">
        <f>SUM(I308:L308)</f>
        <v>113</v>
      </c>
      <c r="N308" s="67"/>
    </row>
    <row r="309" spans="1:14" ht="11.25" customHeight="1">
      <c r="A309" s="140"/>
      <c r="B309" s="32" t="s">
        <v>175</v>
      </c>
      <c r="C309" s="18"/>
      <c r="D309" s="86">
        <f>SUM(D308:D308)</f>
        <v>0</v>
      </c>
      <c r="E309" s="86">
        <f>SUM(E308:E308)</f>
        <v>0</v>
      </c>
      <c r="F309" s="86">
        <f>SUM(F308:F308)</f>
        <v>0</v>
      </c>
      <c r="G309" s="86">
        <f>SUM(G308:G308)</f>
        <v>0</v>
      </c>
      <c r="H309" s="3">
        <f>SUM(D309:G309)</f>
        <v>0</v>
      </c>
      <c r="I309" s="86">
        <f>SUM(I308:I308)</f>
        <v>0</v>
      </c>
      <c r="J309" s="86">
        <f>SUM(J308:J308)</f>
        <v>113</v>
      </c>
      <c r="K309" s="86">
        <f>SUM(K308:K308)</f>
        <v>0</v>
      </c>
      <c r="L309" s="86">
        <f>SUM(L308:L308)</f>
        <v>0</v>
      </c>
      <c r="M309" s="3">
        <f>SUM(I309:L309)</f>
        <v>113</v>
      </c>
      <c r="N309" s="68"/>
    </row>
    <row r="310" spans="1:14" s="5" customFormat="1" ht="12.75" customHeight="1">
      <c r="A310" s="57"/>
      <c r="B310" s="128" t="s">
        <v>196</v>
      </c>
      <c r="C310" s="47" t="s">
        <v>67</v>
      </c>
      <c r="D310" s="85"/>
      <c r="E310" s="85"/>
      <c r="F310" s="85"/>
      <c r="G310" s="85"/>
      <c r="H310" s="4">
        <f>SUM(D310:G310)</f>
        <v>0</v>
      </c>
      <c r="I310" s="76">
        <v>70</v>
      </c>
      <c r="J310" s="103"/>
      <c r="K310" s="85"/>
      <c r="L310" s="85"/>
      <c r="M310" s="4">
        <f>SUM(I310:L310)</f>
        <v>70</v>
      </c>
      <c r="N310" s="125"/>
    </row>
    <row r="311" spans="1:14" ht="30" customHeight="1">
      <c r="A311" s="43"/>
      <c r="B311" s="129"/>
      <c r="C311" s="10" t="s">
        <v>91</v>
      </c>
      <c r="D311" s="76">
        <f>73933+143550</f>
        <v>217483</v>
      </c>
      <c r="E311" s="84"/>
      <c r="F311" s="84"/>
      <c r="G311" s="84"/>
      <c r="H311" s="4">
        <f>SUM(D311:G311)</f>
        <v>217483</v>
      </c>
      <c r="I311" s="76">
        <v>73933</v>
      </c>
      <c r="J311" s="84"/>
      <c r="K311" s="84"/>
      <c r="L311" s="84"/>
      <c r="M311" s="4">
        <f>SUM(I311:L311)</f>
        <v>73933</v>
      </c>
      <c r="N311" s="67">
        <f>M311/H311</f>
        <v>0.3399484097607629</v>
      </c>
    </row>
    <row r="312" spans="1:14" ht="51.75" customHeight="1">
      <c r="A312" s="45"/>
      <c r="B312" s="129"/>
      <c r="C312" s="10" t="s">
        <v>226</v>
      </c>
      <c r="D312" s="76">
        <v>117557</v>
      </c>
      <c r="E312" s="84"/>
      <c r="F312" s="84"/>
      <c r="G312" s="84"/>
      <c r="H312" s="4">
        <f>SUM(D312:F312)</f>
        <v>117557</v>
      </c>
      <c r="I312" s="76">
        <v>117556.37</v>
      </c>
      <c r="J312" s="84"/>
      <c r="K312" s="84"/>
      <c r="L312" s="84"/>
      <c r="M312" s="4">
        <f>SUM(I312:K312)</f>
        <v>117556.37</v>
      </c>
      <c r="N312" s="67">
        <f>M312/H312</f>
        <v>0.999994640897607</v>
      </c>
    </row>
    <row r="313" spans="1:14" ht="48.75" customHeight="1">
      <c r="A313" s="43"/>
      <c r="B313" s="130"/>
      <c r="C313" s="12" t="s">
        <v>227</v>
      </c>
      <c r="D313" s="76">
        <v>55194</v>
      </c>
      <c r="E313" s="84"/>
      <c r="F313" s="84"/>
      <c r="G313" s="84"/>
      <c r="H313" s="4">
        <f>SUM(D313:F313)</f>
        <v>55194</v>
      </c>
      <c r="I313" s="76">
        <v>55193.63</v>
      </c>
      <c r="J313" s="84"/>
      <c r="K313" s="84"/>
      <c r="L313" s="84"/>
      <c r="M313" s="4">
        <f>SUM(I313:K313)</f>
        <v>55193.63</v>
      </c>
      <c r="N313" s="67">
        <f>M313/H313</f>
        <v>0.9999932963727941</v>
      </c>
    </row>
    <row r="314" spans="1:14" ht="9.75">
      <c r="A314" s="43"/>
      <c r="B314" s="22" t="s">
        <v>217</v>
      </c>
      <c r="C314" s="22"/>
      <c r="D314" s="86">
        <f>SUM(D311:D313)</f>
        <v>390234</v>
      </c>
      <c r="E314" s="86">
        <f>SUM(E311:E313)</f>
        <v>0</v>
      </c>
      <c r="F314" s="86">
        <f>SUM(F311:F313)</f>
        <v>0</v>
      </c>
      <c r="G314" s="86">
        <f>SUM(G311:G313)</f>
        <v>0</v>
      </c>
      <c r="H314" s="3">
        <f aca="true" t="shared" si="46" ref="H314:H333">SUM(D314:G314)</f>
        <v>390234</v>
      </c>
      <c r="I314" s="86">
        <f>SUM(I310:I313)</f>
        <v>246753</v>
      </c>
      <c r="J314" s="86">
        <f>SUM(J310:J313)</f>
        <v>0</v>
      </c>
      <c r="K314" s="86">
        <f>SUM(K310:K313)</f>
        <v>0</v>
      </c>
      <c r="L314" s="86">
        <f>SUM(L310:L313)</f>
        <v>0</v>
      </c>
      <c r="M314" s="86">
        <f>SUM(M310:M313)</f>
        <v>246753</v>
      </c>
      <c r="N314" s="68">
        <f>M314/H314</f>
        <v>0.6323206076354188</v>
      </c>
    </row>
    <row r="315" spans="1:14" ht="12.75" customHeight="1">
      <c r="A315" s="16" t="s">
        <v>48</v>
      </c>
      <c r="B315" s="16"/>
      <c r="C315" s="14"/>
      <c r="D315" s="87">
        <f>SUM(D314,D305,D307,D309)</f>
        <v>390234</v>
      </c>
      <c r="E315" s="87">
        <f>SUM(E314,E305,E307,E309)</f>
        <v>32000</v>
      </c>
      <c r="F315" s="87">
        <f aca="true" t="shared" si="47" ref="F315:M315">SUM(F314,F305,F307,F309)</f>
        <v>0</v>
      </c>
      <c r="G315" s="87">
        <f t="shared" si="47"/>
        <v>0</v>
      </c>
      <c r="H315" s="87">
        <f t="shared" si="47"/>
        <v>422234</v>
      </c>
      <c r="I315" s="87">
        <f t="shared" si="47"/>
        <v>246947.73</v>
      </c>
      <c r="J315" s="87">
        <f t="shared" si="47"/>
        <v>31472.65</v>
      </c>
      <c r="K315" s="87">
        <f t="shared" si="47"/>
        <v>0</v>
      </c>
      <c r="L315" s="87">
        <f t="shared" si="47"/>
        <v>0</v>
      </c>
      <c r="M315" s="87">
        <f t="shared" si="47"/>
        <v>278420.38</v>
      </c>
      <c r="N315" s="69">
        <f>M315/H315</f>
        <v>0.6593982957317507</v>
      </c>
    </row>
    <row r="316" spans="1:14" ht="20.25" customHeight="1">
      <c r="A316" s="140" t="s">
        <v>49</v>
      </c>
      <c r="B316" s="12" t="s">
        <v>197</v>
      </c>
      <c r="C316" s="9" t="s">
        <v>67</v>
      </c>
      <c r="D316" s="84"/>
      <c r="E316" s="84"/>
      <c r="F316" s="84"/>
      <c r="G316" s="84"/>
      <c r="H316" s="4">
        <f t="shared" si="46"/>
        <v>0</v>
      </c>
      <c r="I316" s="84">
        <v>112446.35</v>
      </c>
      <c r="J316" s="84"/>
      <c r="K316" s="84"/>
      <c r="L316" s="84"/>
      <c r="M316" s="4">
        <f aca="true" t="shared" si="48" ref="M316:M333">SUM(I316:L316)</f>
        <v>112446.35</v>
      </c>
      <c r="N316" s="67"/>
    </row>
    <row r="317" spans="1:14" ht="12" customHeight="1">
      <c r="A317" s="140"/>
      <c r="B317" s="32" t="s">
        <v>218</v>
      </c>
      <c r="C317" s="18"/>
      <c r="D317" s="86">
        <f>SUM(D316:D316)</f>
        <v>0</v>
      </c>
      <c r="E317" s="86">
        <f>SUM(E316:E316)</f>
        <v>0</v>
      </c>
      <c r="F317" s="86">
        <f>SUM(F316:F316)</f>
        <v>0</v>
      </c>
      <c r="G317" s="86">
        <f>SUM(G316:G316)</f>
        <v>0</v>
      </c>
      <c r="H317" s="3">
        <f t="shared" si="46"/>
        <v>0</v>
      </c>
      <c r="I317" s="86">
        <f>SUM(I316:I316)</f>
        <v>112446.35</v>
      </c>
      <c r="J317" s="86">
        <f>SUM(J316:J316)</f>
        <v>0</v>
      </c>
      <c r="K317" s="86">
        <f>SUM(K316:K316)</f>
        <v>0</v>
      </c>
      <c r="L317" s="86">
        <f>SUM(L316:L316)</f>
        <v>0</v>
      </c>
      <c r="M317" s="3">
        <f t="shared" si="48"/>
        <v>112446.35</v>
      </c>
      <c r="N317" s="68"/>
    </row>
    <row r="318" spans="1:14" s="5" customFormat="1" ht="12" customHeight="1">
      <c r="A318" s="140"/>
      <c r="B318" s="128" t="s">
        <v>198</v>
      </c>
      <c r="C318" s="33" t="s">
        <v>213</v>
      </c>
      <c r="D318" s="85"/>
      <c r="E318" s="85"/>
      <c r="F318" s="85"/>
      <c r="G318" s="85"/>
      <c r="H318" s="4">
        <f t="shared" si="46"/>
        <v>0</v>
      </c>
      <c r="I318" s="76">
        <v>61074.33</v>
      </c>
      <c r="J318" s="85"/>
      <c r="K318" s="85"/>
      <c r="L318" s="85"/>
      <c r="M318" s="4">
        <f t="shared" si="48"/>
        <v>61074.33</v>
      </c>
      <c r="N318" s="67"/>
    </row>
    <row r="319" spans="1:14" ht="14.25" customHeight="1">
      <c r="A319" s="140"/>
      <c r="B319" s="130"/>
      <c r="C319" s="10" t="s">
        <v>228</v>
      </c>
      <c r="D319" s="84"/>
      <c r="E319" s="84"/>
      <c r="F319" s="84"/>
      <c r="G319" s="84"/>
      <c r="H319" s="4">
        <f t="shared" si="46"/>
        <v>0</v>
      </c>
      <c r="I319" s="84">
        <v>5594.64</v>
      </c>
      <c r="J319" s="84"/>
      <c r="K319" s="84"/>
      <c r="L319" s="84"/>
      <c r="M319" s="4">
        <f t="shared" si="48"/>
        <v>5594.64</v>
      </c>
      <c r="N319" s="67"/>
    </row>
    <row r="320" spans="1:14" ht="9" customHeight="1">
      <c r="A320" s="140"/>
      <c r="B320" s="32" t="s">
        <v>219</v>
      </c>
      <c r="C320" s="18"/>
      <c r="D320" s="86">
        <f>SUM(D318:D319)</f>
        <v>0</v>
      </c>
      <c r="E320" s="86">
        <f>SUM(E318:E319)</f>
        <v>0</v>
      </c>
      <c r="F320" s="86">
        <f>SUM(F318:F319)</f>
        <v>0</v>
      </c>
      <c r="G320" s="86">
        <f>SUM(G318:G319)</f>
        <v>0</v>
      </c>
      <c r="H320" s="3">
        <f t="shared" si="46"/>
        <v>0</v>
      </c>
      <c r="I320" s="86">
        <f>SUM(I318:I319)</f>
        <v>66668.97</v>
      </c>
      <c r="J320" s="86">
        <f>SUM(J318:J319)</f>
        <v>0</v>
      </c>
      <c r="K320" s="86">
        <f>SUM(K318:K319)</f>
        <v>0</v>
      </c>
      <c r="L320" s="86">
        <f>SUM(L318:L319)</f>
        <v>0</v>
      </c>
      <c r="M320" s="3">
        <f t="shared" si="48"/>
        <v>66668.97</v>
      </c>
      <c r="N320" s="68"/>
    </row>
    <row r="321" spans="1:14" s="5" customFormat="1" ht="30.75" customHeight="1">
      <c r="A321" s="140"/>
      <c r="B321" s="12" t="s">
        <v>215</v>
      </c>
      <c r="C321" s="12" t="s">
        <v>78</v>
      </c>
      <c r="D321" s="85"/>
      <c r="E321" s="85"/>
      <c r="F321" s="85"/>
      <c r="G321" s="85"/>
      <c r="H321" s="4">
        <f t="shared" si="46"/>
        <v>0</v>
      </c>
      <c r="I321" s="76">
        <v>15832.52</v>
      </c>
      <c r="J321" s="85"/>
      <c r="K321" s="85"/>
      <c r="L321" s="85"/>
      <c r="M321" s="107">
        <f t="shared" si="48"/>
        <v>15832.52</v>
      </c>
      <c r="N321" s="67"/>
    </row>
    <row r="322" spans="1:14" s="37" customFormat="1" ht="9.75" customHeight="1">
      <c r="A322" s="140"/>
      <c r="B322" s="32" t="s">
        <v>216</v>
      </c>
      <c r="C322" s="38"/>
      <c r="D322" s="86">
        <f>SUM(D321:D321)</f>
        <v>0</v>
      </c>
      <c r="E322" s="86">
        <f>SUM(E321:E321)</f>
        <v>0</v>
      </c>
      <c r="F322" s="86">
        <f>SUM(F321:F321)</f>
        <v>0</v>
      </c>
      <c r="G322" s="86">
        <f>SUM(G321:G321)</f>
        <v>0</v>
      </c>
      <c r="H322" s="3">
        <f t="shared" si="46"/>
        <v>0</v>
      </c>
      <c r="I322" s="86">
        <f>SUM(I321:I321)</f>
        <v>15832.52</v>
      </c>
      <c r="J322" s="86">
        <f>SUM(J321:J321)</f>
        <v>0</v>
      </c>
      <c r="K322" s="86">
        <f>SUM(K321:K321)</f>
        <v>0</v>
      </c>
      <c r="L322" s="86">
        <f>SUM(L321:L321)</f>
        <v>0</v>
      </c>
      <c r="M322" s="3">
        <f t="shared" si="48"/>
        <v>15832.52</v>
      </c>
      <c r="N322" s="68"/>
    </row>
    <row r="323" spans="1:14" ht="49.5" customHeight="1">
      <c r="A323" s="140"/>
      <c r="B323" s="33" t="s">
        <v>55</v>
      </c>
      <c r="C323" s="10" t="s">
        <v>94</v>
      </c>
      <c r="D323" s="84">
        <v>35341</v>
      </c>
      <c r="E323" s="84"/>
      <c r="F323" s="84"/>
      <c r="G323" s="84"/>
      <c r="H323" s="4">
        <f t="shared" si="46"/>
        <v>35341</v>
      </c>
      <c r="I323" s="84">
        <v>14204.68</v>
      </c>
      <c r="J323" s="84"/>
      <c r="K323" s="84"/>
      <c r="L323" s="84"/>
      <c r="M323" s="4">
        <f t="shared" si="48"/>
        <v>14204.68</v>
      </c>
      <c r="N323" s="67">
        <f>M323/H323</f>
        <v>0.40193203361534763</v>
      </c>
    </row>
    <row r="324" spans="1:14" ht="13.5" customHeight="1">
      <c r="A324" s="43"/>
      <c r="B324" s="32" t="s">
        <v>166</v>
      </c>
      <c r="C324" s="18"/>
      <c r="D324" s="86">
        <f>SUM(D323:D323)</f>
        <v>35341</v>
      </c>
      <c r="E324" s="86">
        <f>SUM(E323:E323)</f>
        <v>0</v>
      </c>
      <c r="F324" s="86">
        <f>SUM(F323:F323)</f>
        <v>0</v>
      </c>
      <c r="G324" s="86">
        <f>SUM(G323:G323)</f>
        <v>0</v>
      </c>
      <c r="H324" s="3">
        <f t="shared" si="46"/>
        <v>35341</v>
      </c>
      <c r="I324" s="86">
        <f>SUM(I323:I323)</f>
        <v>14204.68</v>
      </c>
      <c r="J324" s="86">
        <f>SUM(J323:J323)</f>
        <v>0</v>
      </c>
      <c r="K324" s="86">
        <f>SUM(K323:K323)</f>
        <v>0</v>
      </c>
      <c r="L324" s="86">
        <f>SUM(L323:L323)</f>
        <v>0</v>
      </c>
      <c r="M324" s="3">
        <f t="shared" si="48"/>
        <v>14204.68</v>
      </c>
      <c r="N324" s="68">
        <f>M324/H324</f>
        <v>0.40193203361534763</v>
      </c>
    </row>
    <row r="325" spans="1:14" s="5" customFormat="1" ht="21" customHeight="1">
      <c r="A325" s="57"/>
      <c r="B325" s="128" t="s">
        <v>50</v>
      </c>
      <c r="C325" s="10" t="s">
        <v>213</v>
      </c>
      <c r="D325" s="84"/>
      <c r="E325" s="85"/>
      <c r="F325" s="85"/>
      <c r="G325" s="85"/>
      <c r="H325" s="4">
        <f t="shared" si="46"/>
        <v>0</v>
      </c>
      <c r="I325" s="84">
        <v>9981.47</v>
      </c>
      <c r="J325" s="85"/>
      <c r="K325" s="85"/>
      <c r="L325" s="85"/>
      <c r="M325" s="4">
        <f t="shared" si="48"/>
        <v>9981.47</v>
      </c>
      <c r="N325" s="67"/>
    </row>
    <row r="326" spans="1:14" s="5" customFormat="1" ht="12" customHeight="1">
      <c r="A326" s="57"/>
      <c r="B326" s="129"/>
      <c r="C326" s="10" t="s">
        <v>69</v>
      </c>
      <c r="D326" s="76"/>
      <c r="E326" s="85"/>
      <c r="F326" s="85"/>
      <c r="G326" s="85"/>
      <c r="H326" s="4">
        <f t="shared" si="46"/>
        <v>0</v>
      </c>
      <c r="I326" s="76">
        <v>1938.95</v>
      </c>
      <c r="J326" s="85"/>
      <c r="K326" s="85"/>
      <c r="L326" s="85"/>
      <c r="M326" s="4">
        <f t="shared" si="48"/>
        <v>1938.95</v>
      </c>
      <c r="N326" s="67"/>
    </row>
    <row r="327" spans="1:14" s="5" customFormat="1" ht="12" customHeight="1">
      <c r="A327" s="57"/>
      <c r="B327" s="17"/>
      <c r="C327" s="10" t="s">
        <v>145</v>
      </c>
      <c r="D327" s="76"/>
      <c r="E327" s="85"/>
      <c r="F327" s="85"/>
      <c r="G327" s="85"/>
      <c r="H327" s="4">
        <f t="shared" si="46"/>
        <v>0</v>
      </c>
      <c r="I327" s="76"/>
      <c r="J327" s="85"/>
      <c r="K327" s="85"/>
      <c r="L327" s="85"/>
      <c r="M327" s="4">
        <f t="shared" si="48"/>
        <v>0</v>
      </c>
      <c r="N327" s="67"/>
    </row>
    <row r="328" spans="1:14" s="5" customFormat="1" ht="10.5" customHeight="1">
      <c r="A328" s="57"/>
      <c r="B328" s="17"/>
      <c r="C328" s="10" t="s">
        <v>65</v>
      </c>
      <c r="D328" s="76"/>
      <c r="E328" s="85"/>
      <c r="F328" s="85"/>
      <c r="G328" s="85"/>
      <c r="H328" s="4">
        <f t="shared" si="46"/>
        <v>0</v>
      </c>
      <c r="I328" s="76">
        <v>1293.32</v>
      </c>
      <c r="J328" s="85"/>
      <c r="K328" s="85"/>
      <c r="L328" s="85"/>
      <c r="M328" s="4">
        <f t="shared" si="48"/>
        <v>1293.32</v>
      </c>
      <c r="N328" s="67"/>
    </row>
    <row r="329" spans="1:14" s="5" customFormat="1" ht="12.75" customHeight="1">
      <c r="A329" s="57"/>
      <c r="B329" s="17"/>
      <c r="C329" s="9" t="s">
        <v>67</v>
      </c>
      <c r="D329" s="76"/>
      <c r="E329" s="76"/>
      <c r="F329" s="85"/>
      <c r="G329" s="85"/>
      <c r="H329" s="4">
        <f t="shared" si="46"/>
        <v>0</v>
      </c>
      <c r="I329" s="76">
        <v>2869.8</v>
      </c>
      <c r="J329" s="76"/>
      <c r="K329" s="85"/>
      <c r="L329" s="85"/>
      <c r="M329" s="4">
        <f t="shared" si="48"/>
        <v>2869.8</v>
      </c>
      <c r="N329" s="67"/>
    </row>
    <row r="330" spans="1:14" ht="39" customHeight="1">
      <c r="A330" s="43"/>
      <c r="B330" s="17"/>
      <c r="C330" s="10" t="s">
        <v>230</v>
      </c>
      <c r="D330" s="84"/>
      <c r="E330" s="84"/>
      <c r="F330" s="84"/>
      <c r="G330" s="84"/>
      <c r="H330" s="4">
        <f t="shared" si="46"/>
        <v>0</v>
      </c>
      <c r="I330" s="84">
        <v>1019275.5</v>
      </c>
      <c r="J330" s="84"/>
      <c r="K330" s="84"/>
      <c r="L330" s="84"/>
      <c r="M330" s="4">
        <f t="shared" si="48"/>
        <v>1019275.5</v>
      </c>
      <c r="N330" s="67"/>
    </row>
    <row r="331" spans="1:14" ht="40.5" customHeight="1">
      <c r="A331" s="43"/>
      <c r="B331" s="17"/>
      <c r="C331" s="10" t="s">
        <v>231</v>
      </c>
      <c r="D331" s="84"/>
      <c r="E331" s="84"/>
      <c r="F331" s="84"/>
      <c r="G331" s="84"/>
      <c r="H331" s="4">
        <f t="shared" si="46"/>
        <v>0</v>
      </c>
      <c r="I331" s="84">
        <v>339758.5</v>
      </c>
      <c r="J331" s="84"/>
      <c r="K331" s="84"/>
      <c r="L331" s="84"/>
      <c r="M331" s="4">
        <f t="shared" si="48"/>
        <v>339758.5</v>
      </c>
      <c r="N331" s="67"/>
    </row>
    <row r="332" spans="1:14" ht="49.5" customHeight="1">
      <c r="A332" s="43"/>
      <c r="B332" s="9"/>
      <c r="C332" s="48" t="s">
        <v>249</v>
      </c>
      <c r="D332" s="84">
        <v>3793884</v>
      </c>
      <c r="E332" s="84"/>
      <c r="F332" s="84"/>
      <c r="G332" s="84"/>
      <c r="H332" s="4">
        <f t="shared" si="46"/>
        <v>3793884</v>
      </c>
      <c r="I332" s="84">
        <v>3575740.04</v>
      </c>
      <c r="J332" s="84"/>
      <c r="K332" s="84"/>
      <c r="L332" s="84"/>
      <c r="M332" s="4">
        <f t="shared" si="48"/>
        <v>3575740.04</v>
      </c>
      <c r="N332" s="67">
        <f>M332/H332</f>
        <v>0.9425011518538785</v>
      </c>
    </row>
    <row r="333" spans="1:14" ht="9" customHeight="1">
      <c r="A333" s="44"/>
      <c r="B333" s="34" t="s">
        <v>167</v>
      </c>
      <c r="C333" s="22"/>
      <c r="D333" s="86">
        <f>SUM(D325:D332)</f>
        <v>3793884</v>
      </c>
      <c r="E333" s="86">
        <f>SUM(E325:E332)</f>
        <v>0</v>
      </c>
      <c r="F333" s="86">
        <f>SUM(F325:F332)</f>
        <v>0</v>
      </c>
      <c r="G333" s="86">
        <f>SUM(G325:G332)</f>
        <v>0</v>
      </c>
      <c r="H333" s="3">
        <f t="shared" si="46"/>
        <v>3793884</v>
      </c>
      <c r="I333" s="86">
        <f>SUM(I325:I332)</f>
        <v>4950857.58</v>
      </c>
      <c r="J333" s="86">
        <f>SUM(J325:J332)</f>
        <v>0</v>
      </c>
      <c r="K333" s="86">
        <f>SUM(K325:K332)</f>
        <v>0</v>
      </c>
      <c r="L333" s="86">
        <f>SUM(L325:L332)</f>
        <v>0</v>
      </c>
      <c r="M333" s="3">
        <f t="shared" si="48"/>
        <v>4950857.58</v>
      </c>
      <c r="N333" s="68">
        <f>M333/H333</f>
        <v>1.3049575527348753</v>
      </c>
    </row>
    <row r="334" spans="1:14" ht="9.75" customHeight="1">
      <c r="A334" s="16" t="s">
        <v>51</v>
      </c>
      <c r="B334" s="36"/>
      <c r="C334" s="14"/>
      <c r="D334" s="87">
        <f>SUM(D333,D324,D320,D317,D322)</f>
        <v>3829225</v>
      </c>
      <c r="E334" s="87">
        <f>SUM(E333,E324,E320,E317,E322)</f>
        <v>0</v>
      </c>
      <c r="F334" s="87">
        <f aca="true" t="shared" si="49" ref="F334:M334">SUM(F333,F324,F320,F317,F322)</f>
        <v>0</v>
      </c>
      <c r="G334" s="87">
        <f t="shared" si="49"/>
        <v>0</v>
      </c>
      <c r="H334" s="87">
        <f t="shared" si="49"/>
        <v>3829225</v>
      </c>
      <c r="I334" s="87">
        <f t="shared" si="49"/>
        <v>5160010.099999999</v>
      </c>
      <c r="J334" s="87">
        <f t="shared" si="49"/>
        <v>0</v>
      </c>
      <c r="K334" s="87">
        <f t="shared" si="49"/>
        <v>0</v>
      </c>
      <c r="L334" s="87">
        <f t="shared" si="49"/>
        <v>0</v>
      </c>
      <c r="M334" s="87">
        <f t="shared" si="49"/>
        <v>5160010.099999999</v>
      </c>
      <c r="N334" s="69">
        <f>M334/H334</f>
        <v>1.3475337960031073</v>
      </c>
    </row>
    <row r="335" spans="1:16" s="5" customFormat="1" ht="30" customHeight="1">
      <c r="A335" s="138" t="s">
        <v>199</v>
      </c>
      <c r="B335" s="132" t="s">
        <v>200</v>
      </c>
      <c r="C335" s="47" t="s">
        <v>233</v>
      </c>
      <c r="D335" s="85"/>
      <c r="E335" s="85"/>
      <c r="F335" s="85"/>
      <c r="G335" s="85"/>
      <c r="H335" s="4">
        <f aca="true" t="shared" si="50" ref="H335:H350">SUM(D335:G335)</f>
        <v>0</v>
      </c>
      <c r="I335" s="76">
        <v>1322</v>
      </c>
      <c r="J335" s="121"/>
      <c r="K335" s="85"/>
      <c r="L335" s="85"/>
      <c r="M335" s="4">
        <f aca="true" t="shared" si="51" ref="M335:M350">SUM(I335:L335)</f>
        <v>1322</v>
      </c>
      <c r="N335" s="67"/>
      <c r="P335" s="79"/>
    </row>
    <row r="336" spans="1:14" s="5" customFormat="1" ht="31.5" customHeight="1">
      <c r="A336" s="140"/>
      <c r="B336" s="133"/>
      <c r="C336" s="47" t="s">
        <v>186</v>
      </c>
      <c r="D336" s="76"/>
      <c r="E336" s="76"/>
      <c r="F336" s="76"/>
      <c r="G336" s="76"/>
      <c r="H336" s="4">
        <f t="shared" si="50"/>
        <v>0</v>
      </c>
      <c r="I336" s="76">
        <v>118995.77</v>
      </c>
      <c r="J336" s="122"/>
      <c r="K336" s="76"/>
      <c r="L336" s="76"/>
      <c r="M336" s="4">
        <f t="shared" si="51"/>
        <v>118995.77</v>
      </c>
      <c r="N336" s="67"/>
    </row>
    <row r="337" spans="1:14" s="5" customFormat="1" ht="9.75" customHeight="1">
      <c r="A337" s="140"/>
      <c r="B337" s="18" t="s">
        <v>232</v>
      </c>
      <c r="C337" s="22"/>
      <c r="D337" s="86">
        <f>SUM(D335:D336)</f>
        <v>0</v>
      </c>
      <c r="E337" s="86">
        <f>SUM(E335:E336)</f>
        <v>0</v>
      </c>
      <c r="F337" s="86">
        <f>SUM(F335:F336)</f>
        <v>0</v>
      </c>
      <c r="G337" s="86">
        <f>SUM(G335:G336)</f>
        <v>0</v>
      </c>
      <c r="H337" s="3">
        <f t="shared" si="50"/>
        <v>0</v>
      </c>
      <c r="I337" s="86">
        <f>SUM(I335:I336)</f>
        <v>120317.77</v>
      </c>
      <c r="J337" s="123">
        <f>SUM(J335:J336)</f>
        <v>0</v>
      </c>
      <c r="K337" s="86">
        <f>SUM(K335:K336)</f>
        <v>0</v>
      </c>
      <c r="L337" s="86">
        <f>SUM(L335:L336)</f>
        <v>0</v>
      </c>
      <c r="M337" s="3">
        <f t="shared" si="51"/>
        <v>120317.77</v>
      </c>
      <c r="N337" s="68"/>
    </row>
    <row r="338" spans="1:14" s="5" customFormat="1" ht="30" customHeight="1">
      <c r="A338" s="140"/>
      <c r="B338" s="48" t="s">
        <v>245</v>
      </c>
      <c r="C338" s="47" t="s">
        <v>233</v>
      </c>
      <c r="D338" s="85"/>
      <c r="E338" s="85"/>
      <c r="F338" s="85"/>
      <c r="G338" s="85"/>
      <c r="H338" s="4">
        <f t="shared" si="50"/>
        <v>0</v>
      </c>
      <c r="I338" s="76">
        <v>5.39</v>
      </c>
      <c r="J338" s="121"/>
      <c r="K338" s="85"/>
      <c r="L338" s="85"/>
      <c r="M338" s="4">
        <f t="shared" si="51"/>
        <v>5.39</v>
      </c>
      <c r="N338" s="67"/>
    </row>
    <row r="339" spans="1:14" s="5" customFormat="1" ht="30" customHeight="1">
      <c r="A339" s="140"/>
      <c r="B339" s="46"/>
      <c r="C339" s="47" t="s">
        <v>186</v>
      </c>
      <c r="D339" s="76"/>
      <c r="E339" s="76"/>
      <c r="F339" s="76"/>
      <c r="G339" s="76"/>
      <c r="H339" s="4">
        <f t="shared" si="50"/>
        <v>0</v>
      </c>
      <c r="I339" s="76">
        <v>2052.96</v>
      </c>
      <c r="J339" s="122"/>
      <c r="K339" s="76"/>
      <c r="L339" s="76"/>
      <c r="M339" s="4">
        <f t="shared" si="51"/>
        <v>2052.96</v>
      </c>
      <c r="N339" s="67"/>
    </row>
    <row r="340" spans="1:14" s="5" customFormat="1" ht="9.75" customHeight="1">
      <c r="A340" s="141"/>
      <c r="B340" s="34" t="s">
        <v>246</v>
      </c>
      <c r="C340" s="22"/>
      <c r="D340" s="86">
        <f>SUM(D338:D339)</f>
        <v>0</v>
      </c>
      <c r="E340" s="86">
        <f>SUM(E338:E339)</f>
        <v>0</v>
      </c>
      <c r="F340" s="86">
        <f>SUM(F338:F339)</f>
        <v>0</v>
      </c>
      <c r="G340" s="86">
        <f>SUM(G338:G339)</f>
        <v>0</v>
      </c>
      <c r="H340" s="3">
        <f t="shared" si="50"/>
        <v>0</v>
      </c>
      <c r="I340" s="86">
        <f>SUM(I338:I339)</f>
        <v>2058.35</v>
      </c>
      <c r="J340" s="123">
        <f>SUM(J338:J339)</f>
        <v>0</v>
      </c>
      <c r="K340" s="86">
        <f>SUM(K338:K339)</f>
        <v>0</v>
      </c>
      <c r="L340" s="86">
        <f>SUM(L338:L339)</f>
        <v>0</v>
      </c>
      <c r="M340" s="3">
        <f t="shared" si="51"/>
        <v>2058.35</v>
      </c>
      <c r="N340" s="68"/>
    </row>
    <row r="341" spans="1:14" ht="11.25" customHeight="1">
      <c r="A341" s="16" t="s">
        <v>199</v>
      </c>
      <c r="B341" s="36"/>
      <c r="C341" s="14"/>
      <c r="D341" s="87">
        <f>SUM(D337,D340)</f>
        <v>0</v>
      </c>
      <c r="E341" s="87">
        <f>SUM(E337,E340)</f>
        <v>0</v>
      </c>
      <c r="F341" s="87">
        <f aca="true" t="shared" si="52" ref="F341:M341">SUM(F337,F340)</f>
        <v>0</v>
      </c>
      <c r="G341" s="87">
        <f t="shared" si="52"/>
        <v>0</v>
      </c>
      <c r="H341" s="87">
        <f t="shared" si="52"/>
        <v>0</v>
      </c>
      <c r="I341" s="87">
        <f t="shared" si="52"/>
        <v>122376.12000000001</v>
      </c>
      <c r="J341" s="87">
        <f t="shared" si="52"/>
        <v>0</v>
      </c>
      <c r="K341" s="87">
        <f t="shared" si="52"/>
        <v>0</v>
      </c>
      <c r="L341" s="87">
        <f t="shared" si="52"/>
        <v>0</v>
      </c>
      <c r="M341" s="87">
        <f t="shared" si="52"/>
        <v>122376.12000000001</v>
      </c>
      <c r="N341" s="69"/>
    </row>
    <row r="342" spans="1:14" s="5" customFormat="1" ht="39.75" customHeight="1">
      <c r="A342" s="42" t="s">
        <v>53</v>
      </c>
      <c r="B342" s="12" t="s">
        <v>61</v>
      </c>
      <c r="C342" s="47" t="s">
        <v>92</v>
      </c>
      <c r="D342" s="76"/>
      <c r="E342" s="76"/>
      <c r="F342" s="76"/>
      <c r="G342" s="76"/>
      <c r="H342" s="4">
        <f t="shared" si="50"/>
        <v>0</v>
      </c>
      <c r="I342" s="76">
        <v>158000</v>
      </c>
      <c r="J342" s="122"/>
      <c r="K342" s="76"/>
      <c r="L342" s="76"/>
      <c r="M342" s="4">
        <f t="shared" si="51"/>
        <v>158000</v>
      </c>
      <c r="N342" s="67"/>
    </row>
    <row r="343" spans="1:14" s="5" customFormat="1" ht="41.25" customHeight="1">
      <c r="A343" s="43"/>
      <c r="B343" s="17"/>
      <c r="C343" s="47" t="s">
        <v>263</v>
      </c>
      <c r="D343" s="76">
        <v>333000</v>
      </c>
      <c r="E343" s="76"/>
      <c r="F343" s="76"/>
      <c r="G343" s="76"/>
      <c r="H343" s="4">
        <f t="shared" si="50"/>
        <v>333000</v>
      </c>
      <c r="I343" s="76">
        <v>333000</v>
      </c>
      <c r="J343" s="122"/>
      <c r="K343" s="76"/>
      <c r="L343" s="76"/>
      <c r="M343" s="4">
        <f t="shared" si="51"/>
        <v>333000</v>
      </c>
      <c r="N343" s="67">
        <f>M343/H343</f>
        <v>1</v>
      </c>
    </row>
    <row r="344" spans="1:14" ht="9.75">
      <c r="A344" s="43"/>
      <c r="B344" s="18" t="s">
        <v>168</v>
      </c>
      <c r="C344" s="18"/>
      <c r="D344" s="86">
        <f>SUM(D342:D343)</f>
        <v>333000</v>
      </c>
      <c r="E344" s="86">
        <f>SUM(E342:E343)</f>
        <v>0</v>
      </c>
      <c r="F344" s="86">
        <f>SUM(F342:F343)</f>
        <v>0</v>
      </c>
      <c r="G344" s="86">
        <f>SUM(G342:G343)</f>
        <v>0</v>
      </c>
      <c r="H344" s="3">
        <f t="shared" si="50"/>
        <v>333000</v>
      </c>
      <c r="I344" s="86">
        <f>SUM(I342:I343)</f>
        <v>491000</v>
      </c>
      <c r="J344" s="123">
        <f>SUM(J342:J343)</f>
        <v>0</v>
      </c>
      <c r="K344" s="86">
        <f>SUM(K342:K343)</f>
        <v>0</v>
      </c>
      <c r="L344" s="86">
        <f>SUM(L342:L343)</f>
        <v>0</v>
      </c>
      <c r="M344" s="3">
        <f t="shared" si="51"/>
        <v>491000</v>
      </c>
      <c r="N344" s="68">
        <f>M344/H344</f>
        <v>1.4744744744744744</v>
      </c>
    </row>
    <row r="345" spans="1:14" ht="50.25" customHeight="1">
      <c r="A345" s="42" t="s">
        <v>53</v>
      </c>
      <c r="B345" s="128" t="s">
        <v>201</v>
      </c>
      <c r="C345" s="10" t="s">
        <v>94</v>
      </c>
      <c r="D345" s="84">
        <v>360000</v>
      </c>
      <c r="E345" s="84"/>
      <c r="F345" s="84"/>
      <c r="G345" s="84"/>
      <c r="H345" s="4">
        <f t="shared" si="50"/>
        <v>360000</v>
      </c>
      <c r="I345" s="84">
        <v>182662.9</v>
      </c>
      <c r="J345" s="124"/>
      <c r="K345" s="84"/>
      <c r="L345" s="84"/>
      <c r="M345" s="4">
        <f t="shared" si="51"/>
        <v>182662.9</v>
      </c>
      <c r="N345" s="67">
        <f>M345/H345</f>
        <v>0.5073969444444444</v>
      </c>
    </row>
    <row r="346" spans="1:15" ht="30" customHeight="1">
      <c r="A346" s="43"/>
      <c r="B346" s="129"/>
      <c r="C346" s="10" t="s">
        <v>233</v>
      </c>
      <c r="D346" s="84"/>
      <c r="E346" s="84"/>
      <c r="F346" s="84"/>
      <c r="G346" s="84"/>
      <c r="H346" s="4">
        <f t="shared" si="50"/>
        <v>0</v>
      </c>
      <c r="I346" s="84">
        <v>45.6</v>
      </c>
      <c r="J346" s="124"/>
      <c r="K346" s="84"/>
      <c r="L346" s="84"/>
      <c r="M346" s="4">
        <f t="shared" si="51"/>
        <v>45.6</v>
      </c>
      <c r="N346" s="67"/>
      <c r="O346" s="80"/>
    </row>
    <row r="347" spans="1:15" ht="9.75">
      <c r="A347" s="43"/>
      <c r="B347" s="129"/>
      <c r="C347" s="10" t="s">
        <v>65</v>
      </c>
      <c r="D347" s="84"/>
      <c r="E347" s="84"/>
      <c r="F347" s="84"/>
      <c r="G347" s="84"/>
      <c r="H347" s="4">
        <f t="shared" si="50"/>
        <v>0</v>
      </c>
      <c r="I347" s="84">
        <v>3883.05</v>
      </c>
      <c r="J347" s="124"/>
      <c r="K347" s="84"/>
      <c r="L347" s="84"/>
      <c r="M347" s="4">
        <f t="shared" si="51"/>
        <v>3883.05</v>
      </c>
      <c r="N347" s="67"/>
      <c r="O347" s="80"/>
    </row>
    <row r="348" spans="1:14" ht="10.5" customHeight="1">
      <c r="A348" s="43"/>
      <c r="B348" s="129"/>
      <c r="C348" s="10" t="s">
        <v>67</v>
      </c>
      <c r="D348" s="84"/>
      <c r="E348" s="84"/>
      <c r="F348" s="84"/>
      <c r="G348" s="84"/>
      <c r="H348" s="4">
        <f t="shared" si="50"/>
        <v>0</v>
      </c>
      <c r="I348" s="84">
        <v>0.65</v>
      </c>
      <c r="J348" s="124"/>
      <c r="K348" s="84"/>
      <c r="L348" s="84"/>
      <c r="M348" s="4">
        <f t="shared" si="51"/>
        <v>0.65</v>
      </c>
      <c r="N348" s="67"/>
    </row>
    <row r="349" spans="1:17" s="5" customFormat="1" ht="30" customHeight="1">
      <c r="A349" s="140"/>
      <c r="B349" s="129"/>
      <c r="C349" s="47" t="s">
        <v>186</v>
      </c>
      <c r="D349" s="76"/>
      <c r="E349" s="76"/>
      <c r="F349" s="76"/>
      <c r="G349" s="76"/>
      <c r="H349" s="4">
        <f t="shared" si="50"/>
        <v>0</v>
      </c>
      <c r="I349" s="76">
        <v>976.4</v>
      </c>
      <c r="J349" s="122"/>
      <c r="K349" s="76"/>
      <c r="L349" s="76"/>
      <c r="M349" s="4">
        <f t="shared" si="51"/>
        <v>976.4</v>
      </c>
      <c r="N349" s="67"/>
      <c r="Q349" s="108"/>
    </row>
    <row r="350" spans="1:17" ht="10.5" customHeight="1">
      <c r="A350" s="140"/>
      <c r="B350" s="18" t="s">
        <v>202</v>
      </c>
      <c r="C350" s="18"/>
      <c r="D350" s="86">
        <f>SUM(D345:D349)</f>
        <v>360000</v>
      </c>
      <c r="E350" s="86">
        <f>SUM(E345:E349)</f>
        <v>0</v>
      </c>
      <c r="F350" s="86">
        <f>SUM(F345:F349)</f>
        <v>0</v>
      </c>
      <c r="G350" s="86">
        <f>SUM(G345:G349)</f>
        <v>0</v>
      </c>
      <c r="H350" s="3">
        <f t="shared" si="50"/>
        <v>360000</v>
      </c>
      <c r="I350" s="86">
        <f>SUM(I345:I349)</f>
        <v>187568.59999999998</v>
      </c>
      <c r="J350" s="86">
        <f>SUM(J345:J349)</f>
        <v>0</v>
      </c>
      <c r="K350" s="86">
        <f>SUM(K345:K349)</f>
        <v>0</v>
      </c>
      <c r="L350" s="86">
        <f>SUM(L345:L349)</f>
        <v>0</v>
      </c>
      <c r="M350" s="3">
        <f t="shared" si="51"/>
        <v>187568.59999999998</v>
      </c>
      <c r="N350" s="68">
        <f>M350/H350</f>
        <v>0.5210238888888888</v>
      </c>
      <c r="Q350" s="64"/>
    </row>
    <row r="351" spans="1:14" ht="10.5" customHeight="1">
      <c r="A351" s="16" t="s">
        <v>54</v>
      </c>
      <c r="B351" s="14"/>
      <c r="C351" s="14"/>
      <c r="D351" s="87">
        <f>SUM(D350,D344)</f>
        <v>693000</v>
      </c>
      <c r="E351" s="87">
        <f>SUM(E350,E344)</f>
        <v>0</v>
      </c>
      <c r="F351" s="87">
        <f aca="true" t="shared" si="53" ref="F351:M351">SUM(F350,F344)</f>
        <v>0</v>
      </c>
      <c r="G351" s="87">
        <f t="shared" si="53"/>
        <v>0</v>
      </c>
      <c r="H351" s="87">
        <f t="shared" si="53"/>
        <v>693000</v>
      </c>
      <c r="I351" s="87">
        <f t="shared" si="53"/>
        <v>678568.6</v>
      </c>
      <c r="J351" s="87">
        <f t="shared" si="53"/>
        <v>0</v>
      </c>
      <c r="K351" s="87">
        <f t="shared" si="53"/>
        <v>0</v>
      </c>
      <c r="L351" s="87">
        <f t="shared" si="53"/>
        <v>0</v>
      </c>
      <c r="M351" s="87">
        <f t="shared" si="53"/>
        <v>678568.6</v>
      </c>
      <c r="N351" s="69">
        <f>M351/H351</f>
        <v>0.9791754689754689</v>
      </c>
    </row>
    <row r="352" spans="1:16" ht="10.5" customHeight="1">
      <c r="A352" s="58" t="s">
        <v>7</v>
      </c>
      <c r="B352" s="29"/>
      <c r="C352" s="30"/>
      <c r="D352" s="98">
        <f>SUM(D31,D7,D34,D50,D73,D92,D97,D105,D141,D151,D202,D219,D274,D300,D315,D334,D341,D351)</f>
        <v>683649327</v>
      </c>
      <c r="E352" s="98">
        <f aca="true" t="shared" si="54" ref="E352:M352">SUM(E31,E7,E34,E50,E73,E92,E97,E105,E141,E151,E202,E219,E274,E300,E315,E334,E341,E351)</f>
        <v>207467383</v>
      </c>
      <c r="F352" s="98">
        <f t="shared" si="54"/>
        <v>48566448</v>
      </c>
      <c r="G352" s="98">
        <f t="shared" si="54"/>
        <v>15656210</v>
      </c>
      <c r="H352" s="7">
        <f t="shared" si="54"/>
        <v>955339368</v>
      </c>
      <c r="I352" s="98">
        <f t="shared" si="54"/>
        <v>317729751.68000007</v>
      </c>
      <c r="J352" s="98">
        <f t="shared" si="54"/>
        <v>95575148.05</v>
      </c>
      <c r="K352" s="98">
        <f t="shared" si="54"/>
        <v>21454416</v>
      </c>
      <c r="L352" s="98">
        <f t="shared" si="54"/>
        <v>9705676</v>
      </c>
      <c r="M352" s="7">
        <f t="shared" si="54"/>
        <v>444464991.73</v>
      </c>
      <c r="N352" s="161">
        <f>M352/H352</f>
        <v>0.465243039926729</v>
      </c>
      <c r="P352" s="20"/>
    </row>
    <row r="353" spans="4:10" ht="9" customHeight="1">
      <c r="D353" s="101"/>
      <c r="E353" s="102"/>
      <c r="I353" s="112"/>
      <c r="J353" s="112"/>
    </row>
    <row r="354" spans="1:13" s="37" customFormat="1" ht="19.5" customHeight="1" hidden="1">
      <c r="A354" s="50"/>
      <c r="B354" s="50"/>
      <c r="C354" s="59" t="s">
        <v>205</v>
      </c>
      <c r="D354" s="105" t="s">
        <v>229</v>
      </c>
      <c r="E354" s="105" t="s">
        <v>206</v>
      </c>
      <c r="F354" s="105" t="s">
        <v>207</v>
      </c>
      <c r="G354" s="89"/>
      <c r="H354" s="70"/>
      <c r="I354" s="113"/>
      <c r="J354" s="113"/>
      <c r="K354" s="113" t="s">
        <v>207</v>
      </c>
      <c r="L354" s="110"/>
      <c r="M354" s="70"/>
    </row>
    <row r="355" spans="1:13" s="37" customFormat="1" ht="12" hidden="1">
      <c r="A355" s="50"/>
      <c r="B355" s="50"/>
      <c r="C355" s="60" t="s">
        <v>208</v>
      </c>
      <c r="D355" s="98">
        <f>SUM(D356:D358)</f>
        <v>180309336</v>
      </c>
      <c r="E355" s="98">
        <f>SUM(E356:E358)</f>
        <v>45309336</v>
      </c>
      <c r="F355" s="90">
        <f>E355/D355*100</f>
        <v>25.128668878243776</v>
      </c>
      <c r="G355" s="89"/>
      <c r="H355" s="70"/>
      <c r="I355" s="111"/>
      <c r="J355" s="111"/>
      <c r="K355" s="114" t="e">
        <f>J355/I355*100</f>
        <v>#DIV/0!</v>
      </c>
      <c r="L355" s="110"/>
      <c r="M355" s="70"/>
    </row>
    <row r="356" spans="1:13" s="37" customFormat="1" ht="10.5" customHeight="1" hidden="1">
      <c r="A356" s="50"/>
      <c r="B356" s="50"/>
      <c r="C356" s="61" t="s">
        <v>209</v>
      </c>
      <c r="D356" s="106">
        <v>45309336</v>
      </c>
      <c r="E356" s="106">
        <v>45309336</v>
      </c>
      <c r="F356" s="90">
        <f>E356/D356*100</f>
        <v>100</v>
      </c>
      <c r="G356" s="89"/>
      <c r="H356" s="70"/>
      <c r="I356" s="115"/>
      <c r="J356" s="115"/>
      <c r="K356" s="114" t="e">
        <f>J356/I356*100</f>
        <v>#DIV/0!</v>
      </c>
      <c r="L356" s="110"/>
      <c r="M356" s="70"/>
    </row>
    <row r="357" spans="1:13" s="37" customFormat="1" ht="9.75" customHeight="1" hidden="1">
      <c r="A357" s="50"/>
      <c r="B357" s="50"/>
      <c r="C357" s="61" t="s">
        <v>210</v>
      </c>
      <c r="D357" s="106">
        <v>90000000</v>
      </c>
      <c r="E357" s="106"/>
      <c r="F357" s="90">
        <f>E357/D357*100</f>
        <v>0</v>
      </c>
      <c r="G357" s="89"/>
      <c r="H357" s="70"/>
      <c r="I357" s="115"/>
      <c r="J357" s="115"/>
      <c r="K357" s="114" t="e">
        <f>J357/I357*100</f>
        <v>#DIV/0!</v>
      </c>
      <c r="L357" s="110"/>
      <c r="M357" s="70"/>
    </row>
    <row r="358" spans="1:13" s="37" customFormat="1" ht="11.25" hidden="1">
      <c r="A358" s="50"/>
      <c r="B358" s="50"/>
      <c r="C358" s="61" t="s">
        <v>242</v>
      </c>
      <c r="D358" s="106">
        <v>45000000</v>
      </c>
      <c r="E358" s="106"/>
      <c r="F358" s="90">
        <f>E358/D358*100</f>
        <v>0</v>
      </c>
      <c r="G358" s="89"/>
      <c r="H358" s="70"/>
      <c r="I358" s="115"/>
      <c r="J358" s="115"/>
      <c r="K358" s="114" t="e">
        <f>J358/I358*100</f>
        <v>#DIV/0!</v>
      </c>
      <c r="L358" s="110"/>
      <c r="M358" s="70"/>
    </row>
    <row r="359" spans="1:13" s="37" customFormat="1" ht="12" customHeight="1" hidden="1">
      <c r="A359" s="50"/>
      <c r="B359" s="50"/>
      <c r="C359" s="60" t="s">
        <v>211</v>
      </c>
      <c r="D359" s="98">
        <f>SUM(H352,D355)</f>
        <v>1135648704</v>
      </c>
      <c r="E359" s="98" t="e">
        <f>SUM(E355,#REF!)</f>
        <v>#REF!</v>
      </c>
      <c r="F359" s="90" t="e">
        <f>E359/D359*100</f>
        <v>#REF!</v>
      </c>
      <c r="G359" s="89"/>
      <c r="H359" s="70"/>
      <c r="I359" s="111"/>
      <c r="J359" s="111"/>
      <c r="K359" s="114" t="e">
        <f>J359/I359*100</f>
        <v>#DIV/0!</v>
      </c>
      <c r="L359" s="110"/>
      <c r="M359" s="70"/>
    </row>
    <row r="360" spans="4:13" ht="9" customHeight="1" hidden="1">
      <c r="D360" s="100"/>
      <c r="H360" s="20"/>
      <c r="I360" s="116"/>
      <c r="M360" s="20"/>
    </row>
    <row r="361" spans="4:11" ht="9.75" hidden="1">
      <c r="D361" s="89" t="s">
        <v>255</v>
      </c>
      <c r="F361" s="91"/>
      <c r="K361" s="117"/>
    </row>
    <row r="362" ht="13.5" customHeight="1" hidden="1"/>
    <row r="363" ht="9.75" hidden="1"/>
    <row r="364" spans="6:12" ht="21.75" customHeight="1" hidden="1">
      <c r="F364" s="92" t="s">
        <v>248</v>
      </c>
      <c r="G364" s="99"/>
      <c r="K364" s="118" t="s">
        <v>248</v>
      </c>
      <c r="L364" s="119"/>
    </row>
    <row r="365" spans="6:12" ht="12.75" hidden="1">
      <c r="F365" s="93">
        <f>1151500+5000+792000+47000000+657760+5360000+344500+38855</f>
        <v>55349615</v>
      </c>
      <c r="G365" s="93"/>
      <c r="K365" s="120">
        <f>1151500+5000+792000+47000000+657760+5360000+344500+38855</f>
        <v>55349615</v>
      </c>
      <c r="L365" s="120"/>
    </row>
  </sheetData>
  <mergeCells count="77">
    <mergeCell ref="B63:B65"/>
    <mergeCell ref="A316:A323"/>
    <mergeCell ref="B294:B296"/>
    <mergeCell ref="B172:B176"/>
    <mergeCell ref="B220:B226"/>
    <mergeCell ref="A98:A99"/>
    <mergeCell ref="B128:B133"/>
    <mergeCell ref="B310:B313"/>
    <mergeCell ref="B117:B126"/>
    <mergeCell ref="B78:B79"/>
    <mergeCell ref="B94:C94"/>
    <mergeCell ref="A275:A282"/>
    <mergeCell ref="B275:B277"/>
    <mergeCell ref="B138:B139"/>
    <mergeCell ref="B212:B213"/>
    <mergeCell ref="B215:B217"/>
    <mergeCell ref="B245:B247"/>
    <mergeCell ref="A1:N1"/>
    <mergeCell ref="C2:C4"/>
    <mergeCell ref="N2:N4"/>
    <mergeCell ref="F3:F4"/>
    <mergeCell ref="G3:G4"/>
    <mergeCell ref="H3:H4"/>
    <mergeCell ref="D2:H2"/>
    <mergeCell ref="I2:M2"/>
    <mergeCell ref="I3:I4"/>
    <mergeCell ref="A2:A4"/>
    <mergeCell ref="B2:B4"/>
    <mergeCell ref="J3:J4"/>
    <mergeCell ref="K3:K4"/>
    <mergeCell ref="L3:L4"/>
    <mergeCell ref="M3:M4"/>
    <mergeCell ref="A8:A12"/>
    <mergeCell ref="A35:A37"/>
    <mergeCell ref="B36:C36"/>
    <mergeCell ref="B37:B38"/>
    <mergeCell ref="A34:B34"/>
    <mergeCell ref="B19:B27"/>
    <mergeCell ref="A51:A53"/>
    <mergeCell ref="A152:A156"/>
    <mergeCell ref="B152:B159"/>
    <mergeCell ref="B345:B349"/>
    <mergeCell ref="B318:B319"/>
    <mergeCell ref="B335:B336"/>
    <mergeCell ref="B325:B326"/>
    <mergeCell ref="B178:B183"/>
    <mergeCell ref="B258:B259"/>
    <mergeCell ref="B109:B115"/>
    <mergeCell ref="E3:E4"/>
    <mergeCell ref="B301:B304"/>
    <mergeCell ref="B161:B163"/>
    <mergeCell ref="B47:B48"/>
    <mergeCell ref="B106:B107"/>
    <mergeCell ref="B8:B17"/>
    <mergeCell ref="D3:D4"/>
    <mergeCell ref="B60:B61"/>
    <mergeCell ref="B251:B253"/>
    <mergeCell ref="B98:B100"/>
    <mergeCell ref="A349:A350"/>
    <mergeCell ref="B287:B292"/>
    <mergeCell ref="B299:C299"/>
    <mergeCell ref="A335:A340"/>
    <mergeCell ref="A301:A309"/>
    <mergeCell ref="B261:B263"/>
    <mergeCell ref="B74:B76"/>
    <mergeCell ref="B135:B136"/>
    <mergeCell ref="A106:A118"/>
    <mergeCell ref="B144:B145"/>
    <mergeCell ref="B228:B231"/>
    <mergeCell ref="B239:B243"/>
    <mergeCell ref="A74:A75"/>
    <mergeCell ref="A93:A96"/>
    <mergeCell ref="B102:B103"/>
    <mergeCell ref="B279:B280"/>
    <mergeCell ref="B265:B266"/>
    <mergeCell ref="B284:B285"/>
    <mergeCell ref="B270:B271"/>
  </mergeCells>
  <printOptions/>
  <pageMargins left="0.2362204724409449" right="0.15748031496062992" top="0.5905511811023623" bottom="0.2362204724409449" header="0.35433070866141736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Radkiewicz</dc:creator>
  <cp:keywords/>
  <dc:description/>
  <cp:lastModifiedBy>kbaza</cp:lastModifiedBy>
  <cp:lastPrinted>2009-08-12T07:53:21Z</cp:lastPrinted>
  <dcterms:created xsi:type="dcterms:W3CDTF">2001-04-03T07:57:11Z</dcterms:created>
  <dcterms:modified xsi:type="dcterms:W3CDTF">2009-08-12T07:54:24Z</dcterms:modified>
  <cp:category/>
  <cp:version/>
  <cp:contentType/>
  <cp:contentStatus/>
</cp:coreProperties>
</file>