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35" windowHeight="4590" activeTab="0"/>
  </bookViews>
  <sheets>
    <sheet name="GRUDZIEŃ" sheetId="1" r:id="rId1"/>
  </sheets>
  <definedNames>
    <definedName name="_xlnm.Print_Titles" localSheetId="0">'GRUDZIEŃ'!$2:$3</definedName>
  </definedNames>
  <calcPr fullCalcOnLoad="1"/>
</workbook>
</file>

<file path=xl/sharedStrings.xml><?xml version="1.0" encoding="utf-8"?>
<sst xmlns="http://schemas.openxmlformats.org/spreadsheetml/2006/main" count="168" uniqueCount="163">
  <si>
    <t>wpływy Urzędu Miasta</t>
  </si>
  <si>
    <t>środki na dofinansowanie projektu COMENIUS</t>
  </si>
  <si>
    <t>projekt "Poprawa czystości wód morza Bałtyckiego poprzez rozwój systemów gospodarki wodnej"</t>
  </si>
  <si>
    <t xml:space="preserve"> </t>
  </si>
  <si>
    <t>wpływy za pobyt dzieci w placówkach opiekuńczo - wychowawczych</t>
  </si>
  <si>
    <t>dofinansowanie projektu "Efektywny samorząd - kompetentna kadra w Urzędzie Miasta Gdyni i Gminy Kosakowo"</t>
  </si>
  <si>
    <t>środki z Sopotu i Gdańska na realizację zadania - Inteligentny System Zarządzania Ruchem w Trójmieście - TRISTAR"</t>
  </si>
  <si>
    <t>rozliczenia z lat ubiegłych oraz zwroty dotacji wykorzystanych niezgodnie z przeznaczeniem lub pobranych w nadmiernej wysokości</t>
  </si>
  <si>
    <t>wpływy do budżetu nadwyżki środków obrotowych zakładu budżetowego</t>
  </si>
  <si>
    <t xml:space="preserve">środki z Sejmiku Województwa Pomorskiego na integrację lokalnego transportu zbiorowego w ramach Metropolitarnego Związku Komunikacyjnego Zatoki Gdańskiej </t>
  </si>
  <si>
    <t>środki na budowę Trasy Kwiatkowskiego</t>
  </si>
  <si>
    <t>na finansowanie zadań z zakresu poprawy bezpieczeństwa ruchu drogowego</t>
  </si>
  <si>
    <t>dotacja z Funduszu Rozwoju Kultury Fizycznej na dofinansowanie budowy krytej pływalni przy ZS Nr 7</t>
  </si>
  <si>
    <t>dotacja z Funduszu Rozwoju Kultury Fizycznej na dofinansowanie budowy hali widowiskowo - sportowej</t>
  </si>
  <si>
    <t>środki z Urzędu Marszałkowskiego  na "Budowę boiska międzydzielnicowego z trawy sztucznej na terenie Szkoły nr 47 Zespołu Szkół nr 14 w Gdyni"</t>
  </si>
  <si>
    <t xml:space="preserve">środki z Funduszu Rozwoju Kultury Fizycznej na dofinansowanie budowy boiska sportowego w ramach Programu "BLISKO BOISKO" przy Zespole Szkół Nr 14 </t>
  </si>
  <si>
    <t>środki z PZU na poprawę bezpieczeństwa w budynku Urzędu Miasta</t>
  </si>
  <si>
    <t>stypendia oraz inne formy pomocy dla uczniów</t>
  </si>
  <si>
    <t>udziały w podatku dochodowym od osób prawnych</t>
  </si>
  <si>
    <t>środki z Europejskiego Funduszu Społecznego na dofinansowanie projektu " Gimnastyka umysłowa urzędnika"</t>
  </si>
  <si>
    <t>środki z Sejmiku Województwa Pomorskiego na dofinansowanie lokalnego transportu zbiorowego na liniach komunikacyjnych regularnego transportu wodnego po akwenie Zatoki Gdańskiej i Zatoki Puckiej</t>
  </si>
  <si>
    <t xml:space="preserve">środki z Sejmiku Województwa Pomorskiego na budowę kompleksu sportowego w ramach programu "Moje boisko - Orlik 2012" </t>
  </si>
  <si>
    <t>środki z Europejskiego Funduszu Społecznego na dofinansowanie projektu " Doradca na plus"</t>
  </si>
  <si>
    <t>środki z Funduszy Prewencyjnych PZU na zakup i montaż nawierzchni z trawy syntetycznej oraz budowy boiska</t>
  </si>
  <si>
    <t>program "Monitoring wizyjny w szkołach i placówkach"</t>
  </si>
  <si>
    <t>dotacja z WFOŚiGW na dofinansowanie realizacji zadania: "Wsparcie działań propagujących ekologiczne formy transportu na trasie Gdyni-Półwysep Helski"</t>
  </si>
  <si>
    <t>środki z Europejskiego Funduszu Społecznego  na dofinansowanie projektu "Rodzina bliżej siebie"</t>
  </si>
  <si>
    <t>realizacja programu "Bezpieczna i przyjazna szkoła"</t>
  </si>
  <si>
    <t>sfinansowanie wypłaty jednorazowej gratyfikacji pieniężnej dla nauczycieli dyplomowanych (tytuł honorowego profesora oświaty)</t>
  </si>
  <si>
    <t>dofinansowanie  realizacji przedsięwzięcia inwestycyjnego "Budowa kompleksu sportowego na terenie SP nr 29</t>
  </si>
  <si>
    <t>dotacja na dofinansowanie realizacji projektu "Rodzina bliżej siebie"</t>
  </si>
  <si>
    <t>odsetki za nieterminowe rozliczania płacone przez US</t>
  </si>
  <si>
    <t>Inspektorat Nadzoru Budowlanego (na zadania bieżące )</t>
  </si>
  <si>
    <t xml:space="preserve">Plan na 2008 rok  </t>
  </si>
  <si>
    <t>dofinansowanie realizacji przedsięwzięcia inwestycyjnego "Budowa krytej pływalni w Zespole Szkół nr 7"</t>
  </si>
  <si>
    <t xml:space="preserve">Wykonanie dochodów budżetu miasta Gdyni za  okres I - XII 2008 roku wg źródeł                                </t>
  </si>
  <si>
    <t>Wykonanie za okres od I - XII 2008r.</t>
  </si>
  <si>
    <t xml:space="preserve">opłacenie składek emerytalno-rentowych </t>
  </si>
  <si>
    <t>zakup karetki dla SP ZOZ Miejska Stacja Pogotowia Ratunkowego w Gdyni</t>
  </si>
  <si>
    <t>Lp.</t>
  </si>
  <si>
    <t>Gmina</t>
  </si>
  <si>
    <t>Powiat</t>
  </si>
  <si>
    <t>Razem</t>
  </si>
  <si>
    <t>DOCHODY OGÓŁEM</t>
  </si>
  <si>
    <t xml:space="preserve">podatek od nieruchomości </t>
  </si>
  <si>
    <t xml:space="preserve">podatek od środków transportowych </t>
  </si>
  <si>
    <t>opłata skarbowa</t>
  </si>
  <si>
    <t>pozostałe</t>
  </si>
  <si>
    <t>podatek rolny</t>
  </si>
  <si>
    <t xml:space="preserve">podatek leśny </t>
  </si>
  <si>
    <t>zaległości z podatków zniesionych</t>
  </si>
  <si>
    <t>odsetki i opłata prolongacyjna</t>
  </si>
  <si>
    <t>Podatki pobierane przez urzędy skarbowe</t>
  </si>
  <si>
    <t>karta podatkowa</t>
  </si>
  <si>
    <t>podatek od spadków i darowizn</t>
  </si>
  <si>
    <t xml:space="preserve">podatek od czynności cywilnoprawnych </t>
  </si>
  <si>
    <t>odsetki od należności podatkowych pobieranych przez US</t>
  </si>
  <si>
    <t>wpływy ze sprzedaży mienia komunalnego</t>
  </si>
  <si>
    <t>dochody z dzierżawy</t>
  </si>
  <si>
    <t>wpływy z lokali użytkowych</t>
  </si>
  <si>
    <t>użytkowanie wieczyste</t>
  </si>
  <si>
    <t>opłata adiacencka i renta planistyczna</t>
  </si>
  <si>
    <t xml:space="preserve">sprzedaż składników majątkowych </t>
  </si>
  <si>
    <t>dochody z najmu i dzierżawy skł. majątkowych gminy oddanych w użytkowanie jednostkom i zakł. budżetowym</t>
  </si>
  <si>
    <t>wpływy z czynszów za mieszkania służbowe</t>
  </si>
  <si>
    <t xml:space="preserve">Inne dochody własne </t>
  </si>
  <si>
    <t>wpływy Zarządu Komunikacji Miejskiej</t>
  </si>
  <si>
    <t>wpływy z opłat rodziców za pobyt dzieci w żłobku</t>
  </si>
  <si>
    <t>wpływy z usług opiekuńczych i opłaty za pobyt w ośrodkach wsparcia</t>
  </si>
  <si>
    <t>wpływy z usług Gdyńskiego Centrum Innowacji</t>
  </si>
  <si>
    <t xml:space="preserve">wpływy z opłat za pobyt w domu opieki społecznej </t>
  </si>
  <si>
    <t xml:space="preserve">opłaty za wpis do rejestru działalności gospodarczej za egzaminy i dokumenty wydawane w związku z wykonywaniem transportu drogowego oraz inne opłaty pobierane przez UM </t>
  </si>
  <si>
    <t>25% dochodów z nieruchom.Skarbu Państwa</t>
  </si>
  <si>
    <t xml:space="preserve">5% dochodów uzysk. na rzecz budżetu państwa w związku z real. zad. zleconych </t>
  </si>
  <si>
    <t>dochody z tyt. ustawy o przeciwdziałaniu alkoholizmowi</t>
  </si>
  <si>
    <t>opłaty za tablice rejestracyjne, prawa jazdy, świadectwa kwal.itp.</t>
  </si>
  <si>
    <t>opłaty za usuwanie pojazdów z pasa drogowego</t>
  </si>
  <si>
    <t>środki z opłat za zajęcie pasa drogowego, umieszczanie reklam i stoisk w pasie drogowym i in.</t>
  </si>
  <si>
    <t>odsetki od środków na rachunkach bankowych</t>
  </si>
  <si>
    <t>pozostałe dochody</t>
  </si>
  <si>
    <t>grzywny i kary - Straż Miejska</t>
  </si>
  <si>
    <t>różne dochody jednostek organizacyjnych miasta</t>
  </si>
  <si>
    <t xml:space="preserve">zadania oświatowe </t>
  </si>
  <si>
    <t>Miejski Rzecznik Konsumentów</t>
  </si>
  <si>
    <t>obsługa mieszkańców Sopotu przez Powiatowy Urząd Pracy w Gdyni</t>
  </si>
  <si>
    <t xml:space="preserve">rodziny zastępcze </t>
  </si>
  <si>
    <t>środki dla Powiatowego Zespołu ds.. Orzekania o Niepełnosprawności zgodnie z zawartym porozumieniem pomiędzy Miastem Gdynia, a Mastem Sopot</t>
  </si>
  <si>
    <t>placówki opiekuńczo - wychowawcze</t>
  </si>
  <si>
    <t>środki z gmin ościennych na organizację usług komunikacyjnych na ich terenie przez ZKM w Gdyni na podstawie porozumień</t>
  </si>
  <si>
    <t>Dotacje i inne środki zewnętrzne na dofinansowanie zadań własnych</t>
  </si>
  <si>
    <t>Środki z UE na dofinansowanie zadań własnych</t>
  </si>
  <si>
    <t>środki na rozbudowę ul. J.Wiśniewskiego</t>
  </si>
  <si>
    <t>środki na realizację zadania: rozwój turystyki w rejonie Zatoki Gdańskiej współfinansowanego ze środków funduszu PHARE</t>
  </si>
  <si>
    <t>Udziały we wpływach z podatków dochodowych</t>
  </si>
  <si>
    <t xml:space="preserve">udziały w podatku dochodowym od osób fizycznych </t>
  </si>
  <si>
    <t>II.  SUBWENCJA OGÓLNA</t>
  </si>
  <si>
    <t>część oświatowa</t>
  </si>
  <si>
    <t>część równoważąca</t>
  </si>
  <si>
    <t>III.  DOTACJE CELOWE Z BUDŻETU PAŃSTWA</t>
  </si>
  <si>
    <t>NA ZADANIA ZLECONE</t>
  </si>
  <si>
    <r>
      <t xml:space="preserve">opieka społeczna, </t>
    </r>
    <r>
      <rPr>
        <i/>
        <sz val="8"/>
        <rFont val="Arial CE"/>
        <family val="2"/>
      </rPr>
      <t>w tym:</t>
    </r>
  </si>
  <si>
    <t xml:space="preserve"> ośrodki wsparcia</t>
  </si>
  <si>
    <t xml:space="preserve"> składki na ubezp. zdrowotne</t>
  </si>
  <si>
    <t xml:space="preserve"> zasiłki i pomoc w naturze</t>
  </si>
  <si>
    <t>świadczenia rodzinne</t>
  </si>
  <si>
    <t xml:space="preserve"> usługi opiekuńcze</t>
  </si>
  <si>
    <t>zespół ds. orzekania o stopniu niepełnosprawn.</t>
  </si>
  <si>
    <t xml:space="preserve">składki na ubezpieczenia zdrowotne </t>
  </si>
  <si>
    <t>rejestr wyborców</t>
  </si>
  <si>
    <t xml:space="preserve">prace geodezyjne i kartograficzne </t>
  </si>
  <si>
    <t>opracowania geodezyjne i kartograficzne</t>
  </si>
  <si>
    <t>gospodarka gruntami i nieruchomościami</t>
  </si>
  <si>
    <t>komisje poborowe</t>
  </si>
  <si>
    <t>NA ZADANIA REALIZOWANE NA MOCY POROZUMIEŃ Z ORGANAMI ADMINISTRACJI RZĄDOWEJ</t>
  </si>
  <si>
    <t>utrzymanie grobów wojennych</t>
  </si>
  <si>
    <t>NA FINANSOWANIE LUB DOFINANSOWANIE ZADAŃ WŁASNYCH</t>
  </si>
  <si>
    <t>uczniowskie praktyki zawodowe</t>
  </si>
  <si>
    <t>zadania z zakresu opieki społecznej:</t>
  </si>
  <si>
    <t>DPS Legionów</t>
  </si>
  <si>
    <t>opieka w domach o zasięgu ponadgminnym</t>
  </si>
  <si>
    <t>zasiłki i pomoc w naturze</t>
  </si>
  <si>
    <t>ośrodki pomocy społecznej</t>
  </si>
  <si>
    <r>
      <t xml:space="preserve">I. </t>
    </r>
    <r>
      <rPr>
        <b/>
        <sz val="10"/>
        <rFont val="Arial CE"/>
        <family val="2"/>
      </rPr>
      <t xml:space="preserve"> DOCHODY WŁASNE, w tym:</t>
    </r>
  </si>
  <si>
    <t>z Funduszu Pracy na finansowanie wynagrodzeń i składek na ubezpieczenie pracowników Powiatowego Urzędu Pracy</t>
  </si>
  <si>
    <t>wpłata części zysku gospodarstwa pomocniczego</t>
  </si>
  <si>
    <t>środki na realizację projektu "MariTour"</t>
  </si>
  <si>
    <t>środki na realizację projektu "Bustrip" wdrażanie i planowanie Bałtyckiego Miejskiego Zrównoważonego Transportu</t>
  </si>
  <si>
    <t>koszty wydawania decyzji w sprawie świadczeń zdrowotnych</t>
  </si>
  <si>
    <t>środki na realizację projektu "www.innowacje.gdynia.pl"</t>
  </si>
  <si>
    <t>projekt "BALTINNO"</t>
  </si>
  <si>
    <t>administracja państwowa (na zadania bieżące i inwestycyjne)</t>
  </si>
  <si>
    <t>środki z Agencji Rozwoju Pomorza na realizację projektu "www.innowacje.gdynia.pl"</t>
  </si>
  <si>
    <t>koszty związane z postępowaniem w sprawie zwrotu podatku akcyzowego zawartego w cenie oleju napędowego wykorzystywanego do produkcji rolnej</t>
  </si>
  <si>
    <t>sfinansowanie nauczania języka angielskiego w pierwszych klasach szkół podstawowych</t>
  </si>
  <si>
    <t xml:space="preserve">rekompensata utraconych dochodów (z PFRON - u) z tytułu zwolnień w podatkach </t>
  </si>
  <si>
    <t>Treść</t>
  </si>
  <si>
    <t>projekt "YOUTH" Młodzieżowa Rewizja Dzisiejszych Miejskich Zwyczajów Transportowych</t>
  </si>
  <si>
    <t>lokalne inicjatywy inwestycyjne</t>
  </si>
  <si>
    <t xml:space="preserve">Droga Różowa IV etap - rozbudowa ul. Lotników </t>
  </si>
  <si>
    <t>środki na realizację projektu "A-B Landbridge"</t>
  </si>
  <si>
    <t>projekt "CreActive NET"</t>
  </si>
  <si>
    <t>uzupełnienie subwencji ogólnej na dofinansowanie inwestycji drogowej</t>
  </si>
  <si>
    <t>program "Posiłek dla potrzebujących"</t>
  </si>
  <si>
    <t>środki z Norweskiego Mechanizmu Finansowego na dofinansowanie realizacji projektu "Kompleksowa termomodernizacja siedmiu budynków placówek oświatowych na terenie Gdyni"</t>
  </si>
  <si>
    <t>wpływy z usług Centrum Aktywności Seniora</t>
  </si>
  <si>
    <t>wpływy z usług Zespołu Placówek Specjalistycznych im. Lisieckiego "Dziadka"</t>
  </si>
  <si>
    <t>środki z Funduszu Rozwoju Kultury Fizycznej na dofinansowanie programu szkolenia młodzieży uzdolnionej sportowo</t>
  </si>
  <si>
    <t>funkcjonowanie ośrodków interwencji kryzysowej</t>
  </si>
  <si>
    <t>w ramach wdrażania reformy oświaty- wypłaty wynagrodzeń dla nauczycieli za przeprowadzenie (poza tygodniowym obowiązkowym wymiarem zajęć) ustnego egzaminu maturalnego</t>
  </si>
  <si>
    <t>środki na dofinansowanie modernizacji przystani rybackiej w Gdyni Orłowie</t>
  </si>
  <si>
    <t>funkcjonowanie punktu katechetycznego</t>
  </si>
  <si>
    <t>wpływy ze sprzedaży biletów na "tramwaj wodny"</t>
  </si>
  <si>
    <t>Podatki i opłaty pobierane przez miasto</t>
  </si>
  <si>
    <t>Dochody z majątku miasta</t>
  </si>
  <si>
    <t>Dotacje od jednostek samorządu terytorialnego</t>
  </si>
  <si>
    <t>wpływy z tytułu przekształcenia użytkowania wieczystego na własność</t>
  </si>
  <si>
    <t>opłaty lokalne (opłata targowa i miejscowa)</t>
  </si>
  <si>
    <t xml:space="preserve">50% zwrotów zaliczek alimentacyjnych </t>
  </si>
  <si>
    <t>Komenda Powiatowa Państwowej Straży Pożarnej (na zadania bieżące)</t>
  </si>
  <si>
    <t>Komenda Powiatowa Państwowej Straży Pożarnej (na zadania inwestycyjne)</t>
  </si>
  <si>
    <t>dotacja z Narodowego Centrum Kultury na realizację Ogólnopolskiego programu rozwoju chórów szkolnych Ministra Kultury i Dziedzictwa Narodowego "Śpiewająca Polska"</t>
  </si>
  <si>
    <t>dynamika (kol.8:5)</t>
  </si>
  <si>
    <t>dotacje z Helu i Jastarni na dofinansowanie funkcjonowania "Tramwaju wodnego"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</si>
</sst>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0.0"/>
    <numFmt numFmtId="167" formatCode="yy\-mm\-dd"/>
    <numFmt numFmtId="168" formatCode="dd\-mmm\-yy"/>
    <numFmt numFmtId="169" formatCode="dd\-mmm"/>
    <numFmt numFmtId="170" formatCode="mmm\-yy"/>
    <numFmt numFmtId="171" formatCode="yy\-mm\-dd\ hh:mm"/>
    <numFmt numFmtId="172" formatCode="#,##0.0000"/>
    <numFmt numFmtId="173" formatCode="#,##0.0\ _z_ł;[Red]\-#,##0.0\ _z_ł"/>
    <numFmt numFmtId="174" formatCode="#,##0.00000"/>
    <numFmt numFmtId="175" formatCode="#,##0.000"/>
    <numFmt numFmtId="176" formatCode="0.000"/>
    <numFmt numFmtId="177" formatCode="0.0000000"/>
    <numFmt numFmtId="178" formatCode="0.000000"/>
    <numFmt numFmtId="179" formatCode="0.00000"/>
    <numFmt numFmtId="180" formatCode="0.0000"/>
    <numFmt numFmtId="181" formatCode="0.0000%"/>
    <numFmt numFmtId="182" formatCode="0.00000%"/>
    <numFmt numFmtId="183" formatCode="0.000000%"/>
    <numFmt numFmtId="184" formatCode="0.0000000%"/>
    <numFmt numFmtId="185" formatCode="0.000%"/>
    <numFmt numFmtId="186" formatCode="d\-mmm\-yy"/>
    <numFmt numFmtId="187" formatCode="_-* #,##0.0\ _z_ł_-;\-* #,##0.0\ _z_ł_-;_-* &quot;-&quot;??\ _z_ł_-;_-@_-"/>
    <numFmt numFmtId="188" formatCode="_-* #,##0\ _z_ł_-;\-* #,##0\ _z_ł_-;_-* &quot;-&quot;??\ _z_ł_-;_-@_-"/>
    <numFmt numFmtId="189" formatCode="&quot;Tak&quot;;&quot;Tak&quot;;&quot;Nie&quot;"/>
    <numFmt numFmtId="190" formatCode="&quot;Prawda&quot;;&quot;Prawda&quot;;&quot;Fałsz&quot;"/>
    <numFmt numFmtId="191" formatCode="&quot;Włączone&quot;;&quot;Włączone&quot;;&quot;Wyłączone&quot;"/>
    <numFmt numFmtId="192" formatCode="0.0000000000"/>
    <numFmt numFmtId="193" formatCode="_-* #,##0.000\ _z_ł_-;\-* #,##0.000\ _z_ł_-;_-* &quot;-&quot;??\ _z_ł_-;_-@_-"/>
    <numFmt numFmtId="194" formatCode="h:mm"/>
  </numFmts>
  <fonts count="19">
    <font>
      <sz val="8"/>
      <name val="Arial CE"/>
      <family val="0"/>
    </font>
    <font>
      <u val="single"/>
      <sz val="10"/>
      <color indexed="12"/>
      <name val="Arial CE"/>
      <family val="0"/>
    </font>
    <font>
      <sz val="10"/>
      <name val="MS Sans Serif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9"/>
      <name val="Arial CE"/>
      <family val="2"/>
    </font>
    <font>
      <i/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  <font>
      <sz val="8"/>
      <name val="MS Sans Serif"/>
      <family val="2"/>
    </font>
    <font>
      <b/>
      <sz val="13"/>
      <name val="Arial CE"/>
      <family val="2"/>
    </font>
    <font>
      <i/>
      <sz val="8"/>
      <name val="Times New Roman"/>
      <family val="1"/>
    </font>
    <font>
      <b/>
      <i/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4" fontId="0" fillId="0" borderId="0" xfId="19" applyNumberFormat="1" applyFont="1" applyFill="1" applyAlignment="1">
      <alignment vertical="center"/>
      <protection/>
    </xf>
    <xf numFmtId="4" fontId="0" fillId="0" borderId="0" xfId="19" applyNumberFormat="1" applyFont="1" applyFill="1">
      <alignment/>
      <protection/>
    </xf>
    <xf numFmtId="4" fontId="0" fillId="0" borderId="0" xfId="19" applyNumberFormat="1" applyFont="1" applyFill="1" applyBorder="1" applyAlignment="1">
      <alignment vertical="center"/>
      <protection/>
    </xf>
    <xf numFmtId="1" fontId="5" fillId="0" borderId="0" xfId="19" applyNumberFormat="1" applyFont="1" applyFill="1">
      <alignment/>
      <protection/>
    </xf>
    <xf numFmtId="164" fontId="5" fillId="0" borderId="1" xfId="19" applyNumberFormat="1" applyFont="1" applyFill="1" applyBorder="1" applyAlignment="1">
      <alignment horizontal="center" vertical="center" wrapText="1"/>
      <protection/>
    </xf>
    <xf numFmtId="3" fontId="5" fillId="0" borderId="2" xfId="19" applyNumberFormat="1" applyFont="1" applyFill="1" applyBorder="1" applyAlignment="1">
      <alignment horizontal="center" vertical="center" wrapText="1"/>
      <protection/>
    </xf>
    <xf numFmtId="4" fontId="7" fillId="0" borderId="0" xfId="19" applyNumberFormat="1" applyFont="1" applyFill="1">
      <alignment/>
      <protection/>
    </xf>
    <xf numFmtId="3" fontId="10" fillId="0" borderId="3" xfId="19" applyNumberFormat="1" applyFont="1" applyFill="1" applyBorder="1" applyAlignment="1">
      <alignment vertical="center"/>
      <protection/>
    </xf>
    <xf numFmtId="4" fontId="5" fillId="0" borderId="0" xfId="19" applyNumberFormat="1" applyFont="1" applyFill="1" applyAlignment="1">
      <alignment vertical="center"/>
      <protection/>
    </xf>
    <xf numFmtId="3" fontId="6" fillId="0" borderId="2" xfId="19" applyNumberFormat="1" applyFont="1" applyFill="1" applyBorder="1" applyAlignment="1">
      <alignment vertical="center"/>
      <protection/>
    </xf>
    <xf numFmtId="4" fontId="8" fillId="0" borderId="0" xfId="19" applyNumberFormat="1" applyFont="1" applyFill="1" applyAlignment="1">
      <alignment vertical="center"/>
      <protection/>
    </xf>
    <xf numFmtId="4" fontId="9" fillId="0" borderId="0" xfId="19" applyNumberFormat="1" applyFont="1" applyFill="1" applyAlignment="1">
      <alignment vertical="center"/>
      <protection/>
    </xf>
    <xf numFmtId="0" fontId="0" fillId="0" borderId="2" xfId="18" applyFont="1" applyFill="1" applyBorder="1" applyAlignment="1">
      <alignment horizontal="left" vertical="center" wrapText="1"/>
      <protection/>
    </xf>
    <xf numFmtId="3" fontId="0" fillId="0" borderId="2" xfId="18" applyNumberFormat="1" applyFont="1" applyFill="1" applyBorder="1" applyAlignment="1">
      <alignment vertical="center"/>
      <protection/>
    </xf>
    <xf numFmtId="3" fontId="5" fillId="0" borderId="2" xfId="19" applyNumberFormat="1" applyFont="1" applyFill="1" applyBorder="1" applyAlignment="1">
      <alignment horizontal="right" vertical="center" wrapText="1"/>
      <protection/>
    </xf>
    <xf numFmtId="3" fontId="0" fillId="0" borderId="2" xfId="19" applyNumberFormat="1" applyFont="1" applyFill="1" applyBorder="1" applyAlignment="1">
      <alignment horizontal="right" vertical="center" wrapText="1"/>
      <protection/>
    </xf>
    <xf numFmtId="0" fontId="0" fillId="0" borderId="0" xfId="18" applyFont="1" applyFill="1">
      <alignment/>
      <protection/>
    </xf>
    <xf numFmtId="0" fontId="0" fillId="0" borderId="0" xfId="18" applyFont="1" applyFill="1" applyAlignment="1">
      <alignment vertical="center"/>
      <protection/>
    </xf>
    <xf numFmtId="0" fontId="0" fillId="0" borderId="2" xfId="18" applyFont="1" applyFill="1" applyBorder="1" applyAlignment="1">
      <alignment vertical="center" wrapText="1"/>
      <protection/>
    </xf>
    <xf numFmtId="0" fontId="7" fillId="0" borderId="2" xfId="18" applyFont="1" applyFill="1" applyBorder="1" applyAlignment="1">
      <alignment vertical="center" wrapText="1"/>
      <protection/>
    </xf>
    <xf numFmtId="3" fontId="12" fillId="0" borderId="2" xfId="19" applyNumberFormat="1" applyFont="1" applyFill="1" applyBorder="1" applyAlignment="1">
      <alignment horizontal="right" vertical="center" wrapText="1"/>
      <protection/>
    </xf>
    <xf numFmtId="3" fontId="7" fillId="0" borderId="2" xfId="19" applyNumberFormat="1" applyFont="1" applyFill="1" applyBorder="1" applyAlignment="1">
      <alignment horizontal="right" vertical="center" wrapText="1"/>
      <protection/>
    </xf>
    <xf numFmtId="0" fontId="7" fillId="0" borderId="0" xfId="18" applyFont="1" applyFill="1">
      <alignment/>
      <protection/>
    </xf>
    <xf numFmtId="0" fontId="7" fillId="0" borderId="0" xfId="18" applyFont="1" applyFill="1" applyAlignment="1">
      <alignment vertical="center"/>
      <protection/>
    </xf>
    <xf numFmtId="1" fontId="6" fillId="0" borderId="2" xfId="19" applyNumberFormat="1" applyFont="1" applyFill="1" applyBorder="1" applyAlignment="1">
      <alignment horizontal="center" vertical="center"/>
      <protection/>
    </xf>
    <xf numFmtId="4" fontId="6" fillId="0" borderId="2" xfId="19" applyNumberFormat="1" applyFont="1" applyFill="1" applyBorder="1" applyAlignment="1">
      <alignment horizontal="left" vertical="center" wrapText="1"/>
      <protection/>
    </xf>
    <xf numFmtId="4" fontId="6" fillId="0" borderId="2" xfId="19" applyNumberFormat="1" applyFont="1" applyFill="1" applyBorder="1" applyAlignment="1">
      <alignment vertical="center" wrapText="1"/>
      <protection/>
    </xf>
    <xf numFmtId="3" fontId="6" fillId="0" borderId="2" xfId="19" applyNumberFormat="1" applyFont="1" applyFill="1" applyBorder="1" applyAlignment="1">
      <alignment horizontal="right" vertical="center" wrapText="1"/>
      <protection/>
    </xf>
    <xf numFmtId="4" fontId="0" fillId="0" borderId="2" xfId="19" applyNumberFormat="1" applyFont="1" applyFill="1" applyBorder="1" applyAlignment="1">
      <alignment vertical="center" wrapText="1"/>
      <protection/>
    </xf>
    <xf numFmtId="0" fontId="13" fillId="0" borderId="2" xfId="18" applyFont="1" applyFill="1" applyBorder="1" applyAlignment="1">
      <alignment horizontal="left" vertical="center" wrapText="1"/>
      <protection/>
    </xf>
    <xf numFmtId="3" fontId="0" fillId="0" borderId="2" xfId="19" applyNumberFormat="1" applyFont="1" applyFill="1" applyBorder="1" applyAlignment="1">
      <alignment vertical="center"/>
      <protection/>
    </xf>
    <xf numFmtId="4" fontId="12" fillId="0" borderId="0" xfId="19" applyNumberFormat="1" applyFont="1" applyFill="1">
      <alignment/>
      <protection/>
    </xf>
    <xf numFmtId="0" fontId="13" fillId="0" borderId="2" xfId="18" applyFont="1" applyFill="1" applyBorder="1" applyAlignment="1">
      <alignment vertical="center" wrapText="1"/>
      <protection/>
    </xf>
    <xf numFmtId="4" fontId="0" fillId="0" borderId="2" xfId="19" applyNumberFormat="1" applyFont="1" applyFill="1" applyBorder="1" applyAlignment="1">
      <alignment horizontal="left" vertical="center" wrapText="1"/>
      <protection/>
    </xf>
    <xf numFmtId="4" fontId="0" fillId="0" borderId="0" xfId="19" applyNumberFormat="1" applyFont="1" applyFill="1" applyBorder="1">
      <alignment/>
      <protection/>
    </xf>
    <xf numFmtId="3" fontId="10" fillId="0" borderId="2" xfId="19" applyNumberFormat="1" applyFont="1" applyFill="1" applyBorder="1" applyAlignment="1">
      <alignment vertical="center"/>
      <protection/>
    </xf>
    <xf numFmtId="3" fontId="10" fillId="0" borderId="2" xfId="19" applyNumberFormat="1" applyFont="1" applyFill="1" applyBorder="1" applyAlignment="1">
      <alignment horizontal="right" vertical="center" wrapText="1"/>
      <protection/>
    </xf>
    <xf numFmtId="4" fontId="7" fillId="0" borderId="0" xfId="19" applyNumberFormat="1" applyFont="1" applyFill="1" applyAlignment="1">
      <alignment vertical="center"/>
      <protection/>
    </xf>
    <xf numFmtId="3" fontId="6" fillId="0" borderId="2" xfId="19" applyNumberFormat="1" applyFont="1" applyFill="1" applyBorder="1" applyAlignment="1">
      <alignment horizontal="left" vertical="center" wrapText="1"/>
      <protection/>
    </xf>
    <xf numFmtId="3" fontId="5" fillId="0" borderId="0" xfId="19" applyNumberFormat="1" applyFont="1" applyFill="1" applyAlignment="1">
      <alignment vertical="center"/>
      <protection/>
    </xf>
    <xf numFmtId="1" fontId="0" fillId="0" borderId="2" xfId="19" applyNumberFormat="1" applyFont="1" applyFill="1" applyBorder="1" applyAlignment="1">
      <alignment vertical="center" wrapText="1"/>
      <protection/>
    </xf>
    <xf numFmtId="1" fontId="0" fillId="0" borderId="2" xfId="19" applyNumberFormat="1" applyFont="1" applyFill="1" applyBorder="1" applyAlignment="1">
      <alignment horizontal="left" vertical="center" wrapText="1"/>
      <protection/>
    </xf>
    <xf numFmtId="1" fontId="7" fillId="0" borderId="2" xfId="19" applyNumberFormat="1" applyFont="1" applyFill="1" applyBorder="1" applyAlignment="1">
      <alignment horizontal="right" vertical="center" wrapText="1"/>
      <protection/>
    </xf>
    <xf numFmtId="3" fontId="6" fillId="0" borderId="2" xfId="18" applyNumberFormat="1" applyFont="1" applyFill="1" applyBorder="1" applyAlignment="1">
      <alignment vertical="center"/>
      <protection/>
    </xf>
    <xf numFmtId="1" fontId="5" fillId="0" borderId="2" xfId="19" applyNumberFormat="1" applyFont="1" applyFill="1" applyBorder="1" applyAlignment="1">
      <alignment horizontal="center" vertical="center"/>
      <protection/>
    </xf>
    <xf numFmtId="0" fontId="5" fillId="0" borderId="2" xfId="18" applyFont="1" applyFill="1" applyBorder="1" applyAlignment="1">
      <alignment horizontal="center" vertical="center"/>
      <protection/>
    </xf>
    <xf numFmtId="0" fontId="12" fillId="0" borderId="2" xfId="18" applyFont="1" applyFill="1" applyBorder="1" applyAlignment="1">
      <alignment horizontal="center" vertical="center"/>
      <protection/>
    </xf>
    <xf numFmtId="1" fontId="7" fillId="0" borderId="2" xfId="19" applyNumberFormat="1" applyFont="1" applyFill="1" applyBorder="1" applyAlignment="1">
      <alignment horizontal="center" vertical="center"/>
      <protection/>
    </xf>
    <xf numFmtId="0" fontId="7" fillId="0" borderId="2" xfId="18" applyFont="1" applyFill="1" applyBorder="1" applyAlignment="1">
      <alignment horizontal="center" vertical="center"/>
      <protection/>
    </xf>
    <xf numFmtId="0" fontId="0" fillId="0" borderId="2" xfId="18" applyFont="1" applyFill="1" applyBorder="1" applyAlignment="1">
      <alignment horizontal="center" vertical="center"/>
      <protection/>
    </xf>
    <xf numFmtId="1" fontId="0" fillId="0" borderId="2" xfId="19" applyNumberFormat="1" applyFont="1" applyFill="1" applyBorder="1" applyAlignment="1">
      <alignment horizontal="center" vertical="center"/>
      <protection/>
    </xf>
    <xf numFmtId="1" fontId="12" fillId="0" borderId="2" xfId="19" applyNumberFormat="1" applyFont="1" applyFill="1" applyBorder="1" applyAlignment="1">
      <alignment horizontal="center" vertical="center"/>
      <protection/>
    </xf>
    <xf numFmtId="3" fontId="6" fillId="0" borderId="2" xfId="19" applyNumberFormat="1" applyFont="1" applyFill="1" applyBorder="1" applyAlignment="1">
      <alignment horizontal="center" vertical="center"/>
      <protection/>
    </xf>
    <xf numFmtId="4" fontId="0" fillId="0" borderId="2" xfId="19" applyNumberFormat="1" applyFont="1" applyFill="1" applyBorder="1" applyAlignment="1">
      <alignment horizontal="center" vertical="center"/>
      <protection/>
    </xf>
    <xf numFmtId="0" fontId="7" fillId="0" borderId="2" xfId="18" applyFont="1" applyFill="1" applyBorder="1" applyAlignment="1">
      <alignment horizontal="center" vertical="center"/>
      <protection/>
    </xf>
    <xf numFmtId="0" fontId="7" fillId="0" borderId="2" xfId="18" applyFont="1" applyFill="1" applyBorder="1" applyAlignment="1">
      <alignment vertical="center" wrapText="1"/>
      <protection/>
    </xf>
    <xf numFmtId="0" fontId="7" fillId="0" borderId="0" xfId="18" applyFont="1" applyFill="1" applyAlignment="1">
      <alignment vertical="center"/>
      <protection/>
    </xf>
    <xf numFmtId="4" fontId="0" fillId="0" borderId="2" xfId="19" applyNumberFormat="1" applyFont="1" applyFill="1" applyBorder="1" applyAlignment="1">
      <alignment vertical="center"/>
      <protection/>
    </xf>
    <xf numFmtId="0" fontId="15" fillId="0" borderId="2" xfId="18" applyFont="1" applyFill="1" applyBorder="1" applyAlignment="1">
      <alignment horizontal="right" vertical="center" wrapText="1"/>
      <protection/>
    </xf>
    <xf numFmtId="1" fontId="15" fillId="0" borderId="2" xfId="19" applyNumberFormat="1" applyFont="1" applyFill="1" applyBorder="1" applyAlignment="1">
      <alignment horizontal="right" vertical="center" wrapText="1"/>
      <protection/>
    </xf>
    <xf numFmtId="3" fontId="12" fillId="0" borderId="0" xfId="19" applyNumberFormat="1" applyFont="1" applyFill="1">
      <alignment/>
      <protection/>
    </xf>
    <xf numFmtId="3" fontId="17" fillId="0" borderId="3" xfId="19" applyNumberFormat="1" applyFont="1" applyFill="1" applyBorder="1" applyAlignment="1">
      <alignment horizontal="right" vertical="center" wrapText="1"/>
      <protection/>
    </xf>
    <xf numFmtId="3" fontId="18" fillId="0" borderId="0" xfId="19" applyNumberFormat="1" applyFont="1" applyFill="1" applyAlignment="1">
      <alignment horizontal="center" vertical="center" wrapText="1"/>
      <protection/>
    </xf>
    <xf numFmtId="3" fontId="17" fillId="0" borderId="2" xfId="19" applyNumberFormat="1" applyFont="1" applyFill="1" applyBorder="1" applyAlignment="1">
      <alignment horizontal="right" vertical="center" wrapText="1"/>
      <protection/>
    </xf>
    <xf numFmtId="1" fontId="5" fillId="0" borderId="0" xfId="19" applyNumberFormat="1" applyFont="1" applyFill="1">
      <alignment/>
      <protection/>
    </xf>
    <xf numFmtId="0" fontId="5" fillId="0" borderId="2" xfId="18" applyFont="1" applyFill="1" applyBorder="1" applyAlignment="1">
      <alignment horizontal="center" vertical="center"/>
      <protection/>
    </xf>
    <xf numFmtId="9" fontId="0" fillId="0" borderId="2" xfId="18" applyNumberFormat="1" applyFont="1" applyFill="1" applyBorder="1" applyAlignment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2" xfId="18" applyFont="1" applyFill="1" applyBorder="1" applyAlignment="1">
      <alignment vertical="center" wrapText="1"/>
      <protection/>
    </xf>
    <xf numFmtId="0" fontId="0" fillId="0" borderId="2" xfId="18" applyFont="1" applyFill="1" applyBorder="1" applyAlignment="1">
      <alignment horizontal="left" vertical="center" wrapText="1"/>
      <protection/>
    </xf>
    <xf numFmtId="0" fontId="0" fillId="0" borderId="0" xfId="18" applyFont="1" applyFill="1">
      <alignment/>
      <protection/>
    </xf>
    <xf numFmtId="0" fontId="0" fillId="0" borderId="0" xfId="18" applyFont="1" applyFill="1" applyAlignment="1">
      <alignment vertical="center"/>
      <protection/>
    </xf>
    <xf numFmtId="0" fontId="0" fillId="0" borderId="2" xfId="18" applyFont="1" applyFill="1" applyBorder="1" applyAlignment="1">
      <alignment horizontal="center" vertical="center"/>
      <protection/>
    </xf>
    <xf numFmtId="4" fontId="0" fillId="0" borderId="2" xfId="19" applyNumberFormat="1" applyFont="1" applyFill="1" applyBorder="1" applyAlignment="1">
      <alignment horizontal="left" vertical="center" wrapText="1"/>
      <protection/>
    </xf>
    <xf numFmtId="1" fontId="0" fillId="0" borderId="2" xfId="19" applyNumberFormat="1" applyFont="1" applyFill="1" applyBorder="1" applyAlignment="1">
      <alignment horizontal="center" vertical="center"/>
      <protection/>
    </xf>
    <xf numFmtId="4" fontId="0" fillId="0" borderId="2" xfId="19" applyNumberFormat="1" applyFont="1" applyFill="1" applyBorder="1" applyAlignment="1">
      <alignment vertical="center" wrapText="1"/>
      <protection/>
    </xf>
    <xf numFmtId="4" fontId="0" fillId="0" borderId="0" xfId="19" applyNumberFormat="1" applyFont="1" applyFill="1">
      <alignment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4" fontId="7" fillId="0" borderId="0" xfId="19" applyNumberFormat="1" applyFont="1" applyFill="1" applyBorder="1">
      <alignment/>
      <protection/>
    </xf>
    <xf numFmtId="3" fontId="18" fillId="0" borderId="0" xfId="19" applyNumberFormat="1" applyFont="1" applyFill="1" applyBorder="1" applyAlignment="1">
      <alignment horizontal="center" vertical="center" wrapText="1"/>
      <protection/>
    </xf>
    <xf numFmtId="4" fontId="5" fillId="0" borderId="0" xfId="19" applyNumberFormat="1" applyFont="1" applyFill="1" applyBorder="1" applyAlignment="1">
      <alignment vertical="center"/>
      <protection/>
    </xf>
    <xf numFmtId="4" fontId="9" fillId="0" borderId="0" xfId="19" applyNumberFormat="1" applyFont="1" applyFill="1" applyBorder="1" applyAlignment="1">
      <alignment vertical="center"/>
      <protection/>
    </xf>
    <xf numFmtId="164" fontId="5" fillId="0" borderId="2" xfId="19" applyNumberFormat="1" applyFont="1" applyFill="1" applyBorder="1" applyAlignment="1">
      <alignment horizontal="center" vertical="center" wrapText="1"/>
      <protection/>
    </xf>
    <xf numFmtId="3" fontId="5" fillId="0" borderId="1" xfId="19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Fill="1" applyAlignment="1">
      <alignment/>
    </xf>
    <xf numFmtId="4" fontId="7" fillId="2" borderId="0" xfId="19" applyNumberFormat="1" applyFont="1" applyFill="1">
      <alignment/>
      <protection/>
    </xf>
    <xf numFmtId="1" fontId="11" fillId="0" borderId="2" xfId="19" applyNumberFormat="1" applyFont="1" applyFill="1" applyBorder="1" applyAlignment="1">
      <alignment horizontal="left" vertical="center" wrapText="1"/>
      <protection/>
    </xf>
    <xf numFmtId="4" fontId="16" fillId="0" borderId="4" xfId="19" applyNumberFormat="1" applyFont="1" applyFill="1" applyBorder="1" applyAlignment="1">
      <alignment horizontal="center" vertical="center" wrapText="1"/>
      <protection/>
    </xf>
    <xf numFmtId="4" fontId="16" fillId="0" borderId="3" xfId="19" applyNumberFormat="1" applyFont="1" applyFill="1" applyBorder="1" applyAlignment="1">
      <alignment horizontal="center" vertical="center" wrapText="1"/>
      <protection/>
    </xf>
    <xf numFmtId="4" fontId="11" fillId="0" borderId="2" xfId="19" applyNumberFormat="1" applyFont="1" applyFill="1" applyBorder="1" applyAlignment="1">
      <alignment horizontal="left" vertical="center" wrapText="1"/>
      <protection/>
    </xf>
    <xf numFmtId="4" fontId="5" fillId="0" borderId="2" xfId="19" applyNumberFormat="1" applyFont="1" applyFill="1" applyBorder="1" applyAlignment="1">
      <alignment horizontal="left" vertical="center" wrapText="1"/>
      <protection/>
    </xf>
    <xf numFmtId="4" fontId="14" fillId="0" borderId="5" xfId="19" applyNumberFormat="1" applyFont="1" applyFill="1" applyBorder="1" applyAlignment="1">
      <alignment horizontal="center" vertical="center" wrapText="1"/>
      <protection/>
    </xf>
    <xf numFmtId="1" fontId="5" fillId="0" borderId="2" xfId="19" applyNumberFormat="1" applyFont="1" applyFill="1" applyBorder="1" applyAlignment="1">
      <alignment horizontal="center" vertical="center" wrapText="1"/>
      <protection/>
    </xf>
    <xf numFmtId="4" fontId="5" fillId="0" borderId="2" xfId="19" applyNumberFormat="1" applyFont="1" applyFill="1" applyBorder="1" applyAlignment="1">
      <alignment horizontal="center" vertical="center" wrapText="1"/>
      <protection/>
    </xf>
    <xf numFmtId="1" fontId="6" fillId="0" borderId="2" xfId="19" applyNumberFormat="1" applyFont="1" applyFill="1" applyBorder="1" applyAlignment="1">
      <alignment horizontal="center" vertical="center" wrapText="1"/>
      <protection/>
    </xf>
    <xf numFmtId="1" fontId="6" fillId="0" borderId="6" xfId="19" applyNumberFormat="1" applyFont="1" applyFill="1" applyBorder="1" applyAlignment="1">
      <alignment horizontal="center" vertical="center" wrapText="1"/>
      <protection/>
    </xf>
    <xf numFmtId="1" fontId="6" fillId="0" borderId="1" xfId="19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Hyperlink" xfId="17"/>
    <cellStyle name="Normalny_B_99" xfId="18"/>
    <cellStyle name="Normalny_d_stawkimax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7"/>
  <sheetViews>
    <sheetView tabSelected="1" workbookViewId="0" topLeftCell="A1">
      <pane ySplit="4" topLeftCell="BM143" activePane="bottomLeft" state="frozen"/>
      <selection pane="topLeft" activeCell="A1" sqref="A1"/>
      <selection pane="bottomLeft" activeCell="M61" sqref="M61"/>
    </sheetView>
  </sheetViews>
  <sheetFormatPr defaultColWidth="9.140625" defaultRowHeight="12"/>
  <cols>
    <col min="1" max="1" width="3.28125" style="78" customWidth="1"/>
    <col min="2" max="2" width="46.8515625" style="78" customWidth="1"/>
    <col min="3" max="3" width="19.00390625" style="68" customWidth="1"/>
    <col min="4" max="4" width="20.421875" style="68" customWidth="1"/>
    <col min="5" max="5" width="18.8515625" style="68" customWidth="1"/>
    <col min="6" max="6" width="21.140625" style="79" customWidth="1"/>
    <col min="7" max="7" width="18.421875" style="79" customWidth="1"/>
    <col min="8" max="8" width="17.28125" style="78" customWidth="1"/>
    <col min="9" max="9" width="10.140625" style="78" customWidth="1"/>
    <col min="10" max="30" width="9.28125" style="78" customWidth="1"/>
    <col min="31" max="16384" width="9.140625" style="78" customWidth="1"/>
  </cols>
  <sheetData>
    <row r="1" spans="1:9" s="3" customFormat="1" ht="24" customHeight="1">
      <c r="A1" s="93" t="s">
        <v>35</v>
      </c>
      <c r="B1" s="93"/>
      <c r="C1" s="93"/>
      <c r="D1" s="93"/>
      <c r="E1" s="93"/>
      <c r="F1" s="93"/>
      <c r="G1" s="93"/>
      <c r="H1" s="93"/>
      <c r="I1" s="93"/>
    </row>
    <row r="2" spans="1:9" s="4" customFormat="1" ht="19.5" customHeight="1">
      <c r="A2" s="94" t="s">
        <v>39</v>
      </c>
      <c r="B2" s="95" t="s">
        <v>135</v>
      </c>
      <c r="C2" s="96" t="s">
        <v>33</v>
      </c>
      <c r="D2" s="96"/>
      <c r="E2" s="96"/>
      <c r="F2" s="96" t="s">
        <v>36</v>
      </c>
      <c r="G2" s="96"/>
      <c r="H2" s="96"/>
      <c r="I2" s="97" t="s">
        <v>161</v>
      </c>
    </row>
    <row r="3" spans="1:9" s="65" customFormat="1" ht="15.75" customHeight="1">
      <c r="A3" s="94"/>
      <c r="B3" s="95"/>
      <c r="C3" s="6" t="s">
        <v>40</v>
      </c>
      <c r="D3" s="6" t="s">
        <v>41</v>
      </c>
      <c r="E3" s="6" t="s">
        <v>42</v>
      </c>
      <c r="F3" s="6" t="s">
        <v>40</v>
      </c>
      <c r="G3" s="6" t="s">
        <v>41</v>
      </c>
      <c r="H3" s="6" t="s">
        <v>42</v>
      </c>
      <c r="I3" s="98"/>
    </row>
    <row r="4" spans="1:12" s="7" customFormat="1" ht="9" customHeight="1">
      <c r="A4" s="45">
        <v>1</v>
      </c>
      <c r="B4" s="45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80"/>
      <c r="K4" s="80"/>
      <c r="L4" s="80"/>
    </row>
    <row r="5" spans="1:12" s="63" customFormat="1" ht="15.75">
      <c r="A5" s="89" t="s">
        <v>43</v>
      </c>
      <c r="B5" s="90"/>
      <c r="C5" s="62">
        <f>SUM(C6,C111,C115)</f>
        <v>688128895</v>
      </c>
      <c r="D5" s="62">
        <f>SUM(D6,D111,D115)</f>
        <v>248917539</v>
      </c>
      <c r="E5" s="64">
        <f aca="true" t="shared" si="0" ref="E5:E44">SUM(C5:D5)</f>
        <v>937046434</v>
      </c>
      <c r="F5" s="62">
        <f>SUM(F6,F111,F115)</f>
        <v>685053833.4</v>
      </c>
      <c r="G5" s="62">
        <f>SUM(G6,G111,G115)</f>
        <v>237728274.32999998</v>
      </c>
      <c r="H5" s="64">
        <f aca="true" t="shared" si="1" ref="H5:H57">SUM(F5:G5)</f>
        <v>922782107.73</v>
      </c>
      <c r="I5" s="84">
        <f aca="true" t="shared" si="2" ref="I5:I23">H5/E5</f>
        <v>0.9847773538723056</v>
      </c>
      <c r="J5" s="81"/>
      <c r="K5" s="81"/>
      <c r="L5" s="81"/>
    </row>
    <row r="6" spans="1:12" s="9" customFormat="1" ht="12.75">
      <c r="A6" s="91" t="s">
        <v>122</v>
      </c>
      <c r="B6" s="92"/>
      <c r="C6" s="8">
        <f>SUM(C7,C20,C26,C36,C76,C89,C60,C108)</f>
        <v>553003294</v>
      </c>
      <c r="D6" s="8">
        <f>SUM(D7,D20,D26,D36,D76,D89,D60,D108)</f>
        <v>143860950</v>
      </c>
      <c r="E6" s="8">
        <f t="shared" si="0"/>
        <v>696864244</v>
      </c>
      <c r="F6" s="8">
        <f>SUM(F7,F20,F26,F36,F76,F89,F60,F108)</f>
        <v>553789664.77</v>
      </c>
      <c r="G6" s="8">
        <f>SUM(G7,G20,G26,G36,G76,G89,G60,G108)</f>
        <v>134762367.01999998</v>
      </c>
      <c r="H6" s="8">
        <f t="shared" si="1"/>
        <v>688552031.79</v>
      </c>
      <c r="I6" s="84">
        <f t="shared" si="2"/>
        <v>0.9880719777466441</v>
      </c>
      <c r="J6" s="82"/>
      <c r="K6" s="82"/>
      <c r="L6" s="82"/>
    </row>
    <row r="7" spans="1:12" s="12" customFormat="1" ht="17.25" customHeight="1">
      <c r="A7" s="25">
        <v>1</v>
      </c>
      <c r="B7" s="27" t="s">
        <v>152</v>
      </c>
      <c r="C7" s="10">
        <f>SUM(C8:C19)</f>
        <v>117014217</v>
      </c>
      <c r="D7" s="10">
        <f>SUM(D8:D19)</f>
        <v>5100000</v>
      </c>
      <c r="E7" s="10">
        <f t="shared" si="0"/>
        <v>122114217</v>
      </c>
      <c r="F7" s="10">
        <f>SUM(F8:F19)</f>
        <v>119017089.95999998</v>
      </c>
      <c r="G7" s="10">
        <f>SUM(G8:G19)</f>
        <v>5579681.96</v>
      </c>
      <c r="H7" s="10">
        <f t="shared" si="1"/>
        <v>124596771.91999997</v>
      </c>
      <c r="I7" s="84">
        <f t="shared" si="2"/>
        <v>1.020329777981543</v>
      </c>
      <c r="J7" s="83"/>
      <c r="K7" s="83"/>
      <c r="L7" s="83"/>
    </row>
    <row r="8" spans="1:9" s="17" customFormat="1" ht="11.25">
      <c r="A8" s="46"/>
      <c r="B8" s="13" t="s">
        <v>44</v>
      </c>
      <c r="C8" s="16">
        <f>83000000+14700000+1000000</f>
        <v>98700000</v>
      </c>
      <c r="D8" s="16"/>
      <c r="E8" s="15">
        <f t="shared" si="0"/>
        <v>98700000</v>
      </c>
      <c r="F8" s="16">
        <f>83237807.43+15824890.35</f>
        <v>99062697.78</v>
      </c>
      <c r="G8" s="16"/>
      <c r="H8" s="15">
        <f t="shared" si="1"/>
        <v>99062697.78</v>
      </c>
      <c r="I8" s="84">
        <f t="shared" si="2"/>
        <v>1.003674749544073</v>
      </c>
    </row>
    <row r="9" spans="1:9" s="17" customFormat="1" ht="13.5" customHeight="1">
      <c r="A9" s="46"/>
      <c r="B9" s="13" t="s">
        <v>45</v>
      </c>
      <c r="C9" s="16">
        <f>4300000+2250000</f>
        <v>6550000</v>
      </c>
      <c r="D9" s="16"/>
      <c r="E9" s="15">
        <f t="shared" si="0"/>
        <v>6550000</v>
      </c>
      <c r="F9" s="16">
        <f>6011368+2030890.57</f>
        <v>8042258.57</v>
      </c>
      <c r="G9" s="16"/>
      <c r="H9" s="15">
        <f t="shared" si="1"/>
        <v>8042258.57</v>
      </c>
      <c r="I9" s="84">
        <f t="shared" si="2"/>
        <v>1.2278257358778626</v>
      </c>
    </row>
    <row r="10" spans="1:9" s="23" customFormat="1" ht="11.25">
      <c r="A10" s="47"/>
      <c r="B10" s="69" t="s">
        <v>48</v>
      </c>
      <c r="C10" s="16">
        <v>39655</v>
      </c>
      <c r="D10" s="22"/>
      <c r="E10" s="21">
        <f t="shared" si="0"/>
        <v>39655</v>
      </c>
      <c r="F10" s="16">
        <f>2501+49854.83</f>
        <v>52355.83</v>
      </c>
      <c r="G10" s="22"/>
      <c r="H10" s="21">
        <f t="shared" si="1"/>
        <v>52355.83</v>
      </c>
      <c r="I10" s="84">
        <f t="shared" si="2"/>
        <v>1.3202831925356198</v>
      </c>
    </row>
    <row r="11" spans="1:9" s="71" customFormat="1" ht="11.25">
      <c r="A11" s="66"/>
      <c r="B11" s="70" t="s">
        <v>49</v>
      </c>
      <c r="C11" s="16">
        <f>4088+68474</f>
        <v>72562</v>
      </c>
      <c r="D11" s="16"/>
      <c r="E11" s="15">
        <f t="shared" si="0"/>
        <v>72562</v>
      </c>
      <c r="F11" s="16">
        <f>86683+4200.74</f>
        <v>90883.74</v>
      </c>
      <c r="G11" s="16"/>
      <c r="H11" s="15">
        <f t="shared" si="1"/>
        <v>90883.74</v>
      </c>
      <c r="I11" s="84">
        <f t="shared" si="2"/>
        <v>1.2524977260825225</v>
      </c>
    </row>
    <row r="12" spans="1:9" s="72" customFormat="1" ht="12" customHeight="1">
      <c r="A12" s="66"/>
      <c r="B12" s="69" t="s">
        <v>50</v>
      </c>
      <c r="C12" s="16">
        <v>2000</v>
      </c>
      <c r="D12" s="16"/>
      <c r="E12" s="15">
        <f t="shared" si="0"/>
        <v>2000</v>
      </c>
      <c r="F12" s="16">
        <v>672.6</v>
      </c>
      <c r="G12" s="16"/>
      <c r="H12" s="15">
        <f t="shared" si="1"/>
        <v>672.6</v>
      </c>
      <c r="I12" s="84">
        <f t="shared" si="2"/>
        <v>0.3363</v>
      </c>
    </row>
    <row r="13" spans="1:9" s="71" customFormat="1" ht="22.5" customHeight="1">
      <c r="A13" s="73"/>
      <c r="B13" s="74" t="s">
        <v>134</v>
      </c>
      <c r="C13" s="16">
        <f>420000</f>
        <v>420000</v>
      </c>
      <c r="D13" s="16"/>
      <c r="E13" s="15">
        <f t="shared" si="0"/>
        <v>420000</v>
      </c>
      <c r="F13" s="16">
        <v>415354</v>
      </c>
      <c r="G13" s="16"/>
      <c r="H13" s="15">
        <f t="shared" si="1"/>
        <v>415354</v>
      </c>
      <c r="I13" s="84">
        <f t="shared" si="2"/>
        <v>0.9889380952380953</v>
      </c>
    </row>
    <row r="14" spans="1:9" s="17" customFormat="1" ht="11.25">
      <c r="A14" s="46"/>
      <c r="B14" s="13" t="s">
        <v>46</v>
      </c>
      <c r="C14" s="16">
        <v>4300000</v>
      </c>
      <c r="D14" s="16"/>
      <c r="E14" s="15">
        <f t="shared" si="0"/>
        <v>4300000</v>
      </c>
      <c r="F14" s="16">
        <v>3825449.05</v>
      </c>
      <c r="G14" s="16"/>
      <c r="H14" s="15">
        <f t="shared" si="1"/>
        <v>3825449.05</v>
      </c>
      <c r="I14" s="84">
        <f t="shared" si="2"/>
        <v>0.8896393139534883</v>
      </c>
    </row>
    <row r="15" spans="1:9" s="17" customFormat="1" ht="17.25" customHeight="1">
      <c r="A15" s="46"/>
      <c r="B15" s="13" t="s">
        <v>74</v>
      </c>
      <c r="C15" s="16">
        <f>4350000</f>
        <v>4350000</v>
      </c>
      <c r="D15" s="16"/>
      <c r="E15" s="15">
        <f t="shared" si="0"/>
        <v>4350000</v>
      </c>
      <c r="F15" s="16">
        <v>4651912.56</v>
      </c>
      <c r="G15" s="16"/>
      <c r="H15" s="15">
        <f t="shared" si="1"/>
        <v>4651912.56</v>
      </c>
      <c r="I15" s="84">
        <f t="shared" si="2"/>
        <v>1.0694051862068965</v>
      </c>
    </row>
    <row r="16" spans="1:9" s="17" customFormat="1" ht="22.5" customHeight="1">
      <c r="A16" s="51"/>
      <c r="B16" s="29" t="s">
        <v>75</v>
      </c>
      <c r="C16" s="16"/>
      <c r="D16" s="16">
        <v>5100000</v>
      </c>
      <c r="E16" s="15">
        <f t="shared" si="0"/>
        <v>5100000</v>
      </c>
      <c r="F16" s="16"/>
      <c r="G16" s="16">
        <v>5579681.96</v>
      </c>
      <c r="H16" s="15">
        <f t="shared" si="1"/>
        <v>5579681.96</v>
      </c>
      <c r="I16" s="84">
        <f t="shared" si="2"/>
        <v>1.0940552862745099</v>
      </c>
    </row>
    <row r="17" spans="1:9" s="71" customFormat="1" ht="14.25" customHeight="1">
      <c r="A17" s="66"/>
      <c r="B17" s="69" t="s">
        <v>156</v>
      </c>
      <c r="C17" s="16">
        <f>900000+230000</f>
        <v>1130000</v>
      </c>
      <c r="D17" s="16"/>
      <c r="E17" s="15">
        <f t="shared" si="0"/>
        <v>1130000</v>
      </c>
      <c r="F17" s="16">
        <f>920977.7+129101.89</f>
        <v>1050079.5899999999</v>
      </c>
      <c r="G17" s="16"/>
      <c r="H17" s="15">
        <f t="shared" si="1"/>
        <v>1050079.5899999999</v>
      </c>
      <c r="I17" s="84">
        <f t="shared" si="2"/>
        <v>0.9292739734513273</v>
      </c>
    </row>
    <row r="18" spans="1:9" s="72" customFormat="1" ht="11.25" customHeight="1">
      <c r="A18" s="73"/>
      <c r="B18" s="70" t="s">
        <v>61</v>
      </c>
      <c r="C18" s="16">
        <v>250000</v>
      </c>
      <c r="D18" s="16"/>
      <c r="E18" s="15">
        <f t="shared" si="0"/>
        <v>250000</v>
      </c>
      <c r="F18" s="16">
        <v>87333</v>
      </c>
      <c r="G18" s="16"/>
      <c r="H18" s="15">
        <f t="shared" si="1"/>
        <v>87333</v>
      </c>
      <c r="I18" s="84">
        <f t="shared" si="2"/>
        <v>0.349332</v>
      </c>
    </row>
    <row r="19" spans="1:9" s="77" customFormat="1" ht="11.25">
      <c r="A19" s="75"/>
      <c r="B19" s="76" t="s">
        <v>51</v>
      </c>
      <c r="C19" s="16">
        <f>900000+300000</f>
        <v>1200000</v>
      </c>
      <c r="D19" s="16"/>
      <c r="E19" s="15">
        <f t="shared" si="0"/>
        <v>1200000</v>
      </c>
      <c r="F19" s="16">
        <f>1285017.32+453075.92</f>
        <v>1738093.24</v>
      </c>
      <c r="G19" s="16"/>
      <c r="H19" s="15">
        <f t="shared" si="1"/>
        <v>1738093.24</v>
      </c>
      <c r="I19" s="84">
        <f t="shared" si="2"/>
        <v>1.4484110333333333</v>
      </c>
    </row>
    <row r="20" spans="1:9" s="11" customFormat="1" ht="12.75" customHeight="1">
      <c r="A20" s="25">
        <v>2</v>
      </c>
      <c r="B20" s="26" t="s">
        <v>52</v>
      </c>
      <c r="C20" s="10">
        <f>SUM(C21:C25)</f>
        <v>41400000</v>
      </c>
      <c r="D20" s="10">
        <f>SUM(D21:D25)</f>
        <v>0</v>
      </c>
      <c r="E20" s="10">
        <f t="shared" si="0"/>
        <v>41400000</v>
      </c>
      <c r="F20" s="10">
        <f>SUM(F21:F25)</f>
        <v>35531850.36</v>
      </c>
      <c r="G20" s="10">
        <f>SUM(G21:G25)</f>
        <v>17.89</v>
      </c>
      <c r="H20" s="10">
        <f t="shared" si="1"/>
        <v>35531868.25</v>
      </c>
      <c r="I20" s="84">
        <f t="shared" si="2"/>
        <v>0.8582576871980676</v>
      </c>
    </row>
    <row r="21" spans="1:9" s="17" customFormat="1" ht="11.25">
      <c r="A21" s="46"/>
      <c r="B21" s="19" t="s">
        <v>53</v>
      </c>
      <c r="C21" s="16">
        <f>900000</f>
        <v>900000</v>
      </c>
      <c r="D21" s="16"/>
      <c r="E21" s="15">
        <f t="shared" si="0"/>
        <v>900000</v>
      </c>
      <c r="F21" s="16">
        <v>917648.48</v>
      </c>
      <c r="G21" s="16"/>
      <c r="H21" s="15">
        <f t="shared" si="1"/>
        <v>917648.48</v>
      </c>
      <c r="I21" s="84">
        <f t="shared" si="2"/>
        <v>1.0196094222222223</v>
      </c>
    </row>
    <row r="22" spans="1:9" s="17" customFormat="1" ht="12" customHeight="1">
      <c r="A22" s="46"/>
      <c r="B22" s="19" t="s">
        <v>54</v>
      </c>
      <c r="C22" s="16">
        <v>3500000</v>
      </c>
      <c r="D22" s="16"/>
      <c r="E22" s="15">
        <f t="shared" si="0"/>
        <v>3500000</v>
      </c>
      <c r="F22" s="16">
        <v>4504550.33</v>
      </c>
      <c r="G22" s="16"/>
      <c r="H22" s="15">
        <f t="shared" si="1"/>
        <v>4504550.33</v>
      </c>
      <c r="I22" s="84">
        <f t="shared" si="2"/>
        <v>1.28701438</v>
      </c>
    </row>
    <row r="23" spans="1:9" s="17" customFormat="1" ht="13.5" customHeight="1">
      <c r="A23" s="46"/>
      <c r="B23" s="19" t="s">
        <v>55</v>
      </c>
      <c r="C23" s="16">
        <f>37000000</f>
        <v>37000000</v>
      </c>
      <c r="D23" s="16"/>
      <c r="E23" s="15">
        <f t="shared" si="0"/>
        <v>37000000</v>
      </c>
      <c r="F23" s="16">
        <f>5524914.18+24538677.65</f>
        <v>30063591.83</v>
      </c>
      <c r="G23" s="16"/>
      <c r="H23" s="15">
        <f t="shared" si="1"/>
        <v>30063591.83</v>
      </c>
      <c r="I23" s="84">
        <f t="shared" si="2"/>
        <v>0.8125295089189188</v>
      </c>
    </row>
    <row r="24" spans="1:9" s="17" customFormat="1" ht="21" customHeight="1">
      <c r="A24" s="46"/>
      <c r="B24" s="19" t="s">
        <v>56</v>
      </c>
      <c r="C24" s="16"/>
      <c r="D24" s="16"/>
      <c r="E24" s="15">
        <f t="shared" si="0"/>
        <v>0</v>
      </c>
      <c r="F24" s="16">
        <f>44288.18+1685.69</f>
        <v>45973.87</v>
      </c>
      <c r="G24" s="16"/>
      <c r="H24" s="15">
        <f t="shared" si="1"/>
        <v>45973.87</v>
      </c>
      <c r="I24" s="84"/>
    </row>
    <row r="25" spans="1:9" s="17" customFormat="1" ht="13.5" customHeight="1">
      <c r="A25" s="46"/>
      <c r="B25" s="19" t="s">
        <v>31</v>
      </c>
      <c r="C25" s="16"/>
      <c r="D25" s="16"/>
      <c r="E25" s="15">
        <f t="shared" si="0"/>
        <v>0</v>
      </c>
      <c r="F25" s="16">
        <v>85.85</v>
      </c>
      <c r="G25" s="16">
        <v>17.89</v>
      </c>
      <c r="H25" s="15">
        <f t="shared" si="1"/>
        <v>103.74</v>
      </c>
      <c r="I25" s="84"/>
    </row>
    <row r="26" spans="1:9" s="12" customFormat="1" ht="13.5" customHeight="1">
      <c r="A26" s="25">
        <v>3</v>
      </c>
      <c r="B26" s="27" t="s">
        <v>153</v>
      </c>
      <c r="C26" s="10">
        <f>SUM(C27:C32)</f>
        <v>56476937</v>
      </c>
      <c r="D26" s="10">
        <f>SUM(D27:D32)</f>
        <v>46528</v>
      </c>
      <c r="E26" s="28">
        <f t="shared" si="0"/>
        <v>56523465</v>
      </c>
      <c r="F26" s="10">
        <f>SUM(F27:F32)</f>
        <v>52037625.35</v>
      </c>
      <c r="G26" s="10">
        <f>SUM(G27:G32)</f>
        <v>64218.380000000005</v>
      </c>
      <c r="H26" s="28">
        <f t="shared" si="1"/>
        <v>52101843.730000004</v>
      </c>
      <c r="I26" s="84">
        <f aca="true" t="shared" si="3" ref="I26:I41">H26/E26</f>
        <v>0.9217737046021507</v>
      </c>
    </row>
    <row r="27" spans="1:9" s="17" customFormat="1" ht="15" customHeight="1">
      <c r="A27" s="46"/>
      <c r="B27" s="19" t="s">
        <v>57</v>
      </c>
      <c r="C27" s="16">
        <f>24500000</f>
        <v>24500000</v>
      </c>
      <c r="D27" s="16"/>
      <c r="E27" s="15">
        <f t="shared" si="0"/>
        <v>24500000</v>
      </c>
      <c r="F27" s="16">
        <v>19098383.37</v>
      </c>
      <c r="G27" s="16"/>
      <c r="H27" s="15">
        <f t="shared" si="1"/>
        <v>19098383.37</v>
      </c>
      <c r="I27" s="84">
        <f t="shared" si="3"/>
        <v>0.7795258518367347</v>
      </c>
    </row>
    <row r="28" spans="1:9" s="17" customFormat="1" ht="21.75" customHeight="1">
      <c r="A28" s="46"/>
      <c r="B28" s="19" t="s">
        <v>155</v>
      </c>
      <c r="C28" s="16">
        <v>2500000</v>
      </c>
      <c r="D28" s="16"/>
      <c r="E28" s="15">
        <f t="shared" si="0"/>
        <v>2500000</v>
      </c>
      <c r="F28" s="16">
        <v>3690715.13</v>
      </c>
      <c r="G28" s="16"/>
      <c r="H28" s="15">
        <f t="shared" si="1"/>
        <v>3690715.13</v>
      </c>
      <c r="I28" s="84">
        <f t="shared" si="3"/>
        <v>1.4762860519999998</v>
      </c>
    </row>
    <row r="29" spans="1:9" s="17" customFormat="1" ht="11.25">
      <c r="A29" s="46"/>
      <c r="B29" s="19" t="s">
        <v>58</v>
      </c>
      <c r="C29" s="16">
        <v>7700000</v>
      </c>
      <c r="D29" s="16"/>
      <c r="E29" s="15">
        <f t="shared" si="0"/>
        <v>7700000</v>
      </c>
      <c r="F29" s="16">
        <v>8629033.24</v>
      </c>
      <c r="G29" s="16"/>
      <c r="H29" s="15">
        <f t="shared" si="1"/>
        <v>8629033.24</v>
      </c>
      <c r="I29" s="84">
        <f t="shared" si="3"/>
        <v>1.1206536675324676</v>
      </c>
    </row>
    <row r="30" spans="1:9" s="17" customFormat="1" ht="11.25">
      <c r="A30" s="46"/>
      <c r="B30" s="19" t="s">
        <v>59</v>
      </c>
      <c r="C30" s="16">
        <v>4000000</v>
      </c>
      <c r="D30" s="16"/>
      <c r="E30" s="15">
        <f t="shared" si="0"/>
        <v>4000000</v>
      </c>
      <c r="F30" s="16">
        <v>3400675.19</v>
      </c>
      <c r="G30" s="16"/>
      <c r="H30" s="15">
        <f t="shared" si="1"/>
        <v>3400675.19</v>
      </c>
      <c r="I30" s="84">
        <f t="shared" si="3"/>
        <v>0.8501687975</v>
      </c>
    </row>
    <row r="31" spans="1:9" s="17" customFormat="1" ht="11.25">
      <c r="A31" s="46"/>
      <c r="B31" s="19" t="s">
        <v>60</v>
      </c>
      <c r="C31" s="16">
        <f>4000000+500000</f>
        <v>4500000</v>
      </c>
      <c r="D31" s="16"/>
      <c r="E31" s="15">
        <f t="shared" si="0"/>
        <v>4500000</v>
      </c>
      <c r="F31" s="16">
        <v>4983527.11</v>
      </c>
      <c r="G31" s="16"/>
      <c r="H31" s="15">
        <f t="shared" si="1"/>
        <v>4983527.11</v>
      </c>
      <c r="I31" s="84">
        <f t="shared" si="3"/>
        <v>1.1074504688888889</v>
      </c>
    </row>
    <row r="32" spans="1:9" s="17" customFormat="1" ht="11.25">
      <c r="A32" s="46"/>
      <c r="B32" s="19" t="s">
        <v>47</v>
      </c>
      <c r="C32" s="16">
        <f>SUM(C33:C35)</f>
        <v>13276937</v>
      </c>
      <c r="D32" s="16">
        <f>SUM(D33:D35)</f>
        <v>46528</v>
      </c>
      <c r="E32" s="15">
        <f t="shared" si="0"/>
        <v>13323465</v>
      </c>
      <c r="F32" s="16">
        <f>SUM(F33:F35)</f>
        <v>12235291.31</v>
      </c>
      <c r="G32" s="16">
        <f>SUM(G33:G35)</f>
        <v>64218.380000000005</v>
      </c>
      <c r="H32" s="15">
        <f t="shared" si="1"/>
        <v>12299509.690000001</v>
      </c>
      <c r="I32" s="84">
        <f t="shared" si="3"/>
        <v>0.9231464705315022</v>
      </c>
    </row>
    <row r="33" spans="1:9" s="23" customFormat="1" ht="12.75" customHeight="1">
      <c r="A33" s="49"/>
      <c r="B33" s="20" t="s">
        <v>62</v>
      </c>
      <c r="C33" s="22">
        <v>460000</v>
      </c>
      <c r="D33" s="22">
        <v>4726</v>
      </c>
      <c r="E33" s="21">
        <f t="shared" si="0"/>
        <v>464726</v>
      </c>
      <c r="F33" s="22">
        <f>10145.11+364727.2+229+48606.56</f>
        <v>423707.87</v>
      </c>
      <c r="G33" s="22">
        <f>4727.1</f>
        <v>4727.1</v>
      </c>
      <c r="H33" s="21">
        <f t="shared" si="1"/>
        <v>428434.97</v>
      </c>
      <c r="I33" s="84">
        <f t="shared" si="3"/>
        <v>0.9219087591397941</v>
      </c>
    </row>
    <row r="34" spans="1:9" s="57" customFormat="1" ht="32.25" customHeight="1">
      <c r="A34" s="55"/>
      <c r="B34" s="56" t="s">
        <v>63</v>
      </c>
      <c r="C34" s="22">
        <f>4695824+5515149+27700+35347+1321205+300000+360000+472177</f>
        <v>12727402</v>
      </c>
      <c r="D34" s="22"/>
      <c r="E34" s="21">
        <f t="shared" si="0"/>
        <v>12727402</v>
      </c>
      <c r="F34" s="22">
        <f>45741.53+9611501.31+1172517.41+360225.38+34147.08+408218.99</f>
        <v>11632351.700000001</v>
      </c>
      <c r="G34" s="22">
        <f>9822.64+1805.7</f>
        <v>11628.34</v>
      </c>
      <c r="H34" s="21">
        <f t="shared" si="1"/>
        <v>11643980.040000001</v>
      </c>
      <c r="I34" s="84">
        <f t="shared" si="3"/>
        <v>0.9148748534854169</v>
      </c>
    </row>
    <row r="35" spans="1:9" s="24" customFormat="1" ht="15.75" customHeight="1">
      <c r="A35" s="49"/>
      <c r="B35" s="20" t="s">
        <v>64</v>
      </c>
      <c r="C35" s="22">
        <v>89535</v>
      </c>
      <c r="D35" s="22">
        <f>12941+3361+25500</f>
        <v>41802</v>
      </c>
      <c r="E35" s="21">
        <f t="shared" si="0"/>
        <v>131337</v>
      </c>
      <c r="F35" s="22">
        <f>89656.38+89575.36</f>
        <v>179231.74</v>
      </c>
      <c r="G35" s="22">
        <f>14110.4+6369.29+27383.25</f>
        <v>47862.94</v>
      </c>
      <c r="H35" s="21">
        <f t="shared" si="1"/>
        <v>227094.68</v>
      </c>
      <c r="I35" s="84">
        <f t="shared" si="3"/>
        <v>1.7290990353061209</v>
      </c>
    </row>
    <row r="36" spans="1:9" s="12" customFormat="1" ht="12">
      <c r="A36" s="25">
        <v>4</v>
      </c>
      <c r="B36" s="27" t="s">
        <v>65</v>
      </c>
      <c r="C36" s="10">
        <f>SUM(C37:C54)</f>
        <v>76969841</v>
      </c>
      <c r="D36" s="10">
        <f>SUM(D37:D54)</f>
        <v>3912790</v>
      </c>
      <c r="E36" s="28">
        <f t="shared" si="0"/>
        <v>80882631</v>
      </c>
      <c r="F36" s="10">
        <f>SUM(F37:F54)</f>
        <v>80569349.48</v>
      </c>
      <c r="G36" s="10">
        <f>SUM(G37:G54)</f>
        <v>4973562.91</v>
      </c>
      <c r="H36" s="28">
        <f t="shared" si="1"/>
        <v>85542912.39</v>
      </c>
      <c r="I36" s="84">
        <f t="shared" si="3"/>
        <v>1.0576178263785707</v>
      </c>
    </row>
    <row r="37" spans="1:9" s="17" customFormat="1" ht="12" customHeight="1">
      <c r="A37" s="46"/>
      <c r="B37" s="19" t="s">
        <v>66</v>
      </c>
      <c r="C37" s="16">
        <f>64659313-27700+2000-2000+6099</f>
        <v>64637712</v>
      </c>
      <c r="D37" s="16"/>
      <c r="E37" s="15">
        <f t="shared" si="0"/>
        <v>64637712</v>
      </c>
      <c r="F37" s="16">
        <f>64924770.61+21366.5+2394051.82-2306428.75</f>
        <v>65033760.17999999</v>
      </c>
      <c r="G37" s="16"/>
      <c r="H37" s="15">
        <f t="shared" si="1"/>
        <v>65033760.17999999</v>
      </c>
      <c r="I37" s="84">
        <f t="shared" si="3"/>
        <v>1.0061271998612822</v>
      </c>
    </row>
    <row r="38" spans="1:9" s="17" customFormat="1" ht="15.75" customHeight="1">
      <c r="A38" s="46"/>
      <c r="B38" s="19" t="s">
        <v>151</v>
      </c>
      <c r="C38" s="16">
        <f>2100000+200000</f>
        <v>2300000</v>
      </c>
      <c r="D38" s="16"/>
      <c r="E38" s="15">
        <f t="shared" si="0"/>
        <v>2300000</v>
      </c>
      <c r="F38" s="16">
        <v>2306428.75</v>
      </c>
      <c r="G38" s="16"/>
      <c r="H38" s="15">
        <f t="shared" si="1"/>
        <v>2306428.75</v>
      </c>
      <c r="I38" s="84">
        <f t="shared" si="3"/>
        <v>1.0027951086956521</v>
      </c>
    </row>
    <row r="39" spans="1:9" s="17" customFormat="1" ht="11.25">
      <c r="A39" s="46"/>
      <c r="B39" s="19" t="s">
        <v>0</v>
      </c>
      <c r="C39" s="16">
        <f>37000+40000</f>
        <v>77000</v>
      </c>
      <c r="D39" s="16"/>
      <c r="E39" s="15">
        <f t="shared" si="0"/>
        <v>77000</v>
      </c>
      <c r="F39" s="16">
        <f>37234.28+251336.14</f>
        <v>288570.42000000004</v>
      </c>
      <c r="G39" s="16"/>
      <c r="H39" s="15">
        <f t="shared" si="1"/>
        <v>288570.42000000004</v>
      </c>
      <c r="I39" s="84">
        <f t="shared" si="3"/>
        <v>3.7476677922077926</v>
      </c>
    </row>
    <row r="40" spans="1:9" s="17" customFormat="1" ht="15.75" customHeight="1">
      <c r="A40" s="46"/>
      <c r="B40" s="19" t="s">
        <v>67</v>
      </c>
      <c r="C40" s="16">
        <v>189300</v>
      </c>
      <c r="D40" s="16"/>
      <c r="E40" s="15">
        <f t="shared" si="0"/>
        <v>189300</v>
      </c>
      <c r="F40" s="16">
        <v>293842.6</v>
      </c>
      <c r="G40" s="16"/>
      <c r="H40" s="15">
        <f t="shared" si="1"/>
        <v>293842.6</v>
      </c>
      <c r="I40" s="84">
        <f t="shared" si="3"/>
        <v>1.5522588483888007</v>
      </c>
    </row>
    <row r="41" spans="1:9" s="17" customFormat="1" ht="22.5" customHeight="1">
      <c r="A41" s="46"/>
      <c r="B41" s="19" t="s">
        <v>68</v>
      </c>
      <c r="C41" s="16">
        <f>380000+366060</f>
        <v>746060</v>
      </c>
      <c r="D41" s="16"/>
      <c r="E41" s="15">
        <f t="shared" si="0"/>
        <v>746060</v>
      </c>
      <c r="F41" s="16">
        <f>461976.72+461321.64</f>
        <v>923298.36</v>
      </c>
      <c r="G41" s="16"/>
      <c r="H41" s="15">
        <f t="shared" si="1"/>
        <v>923298.36</v>
      </c>
      <c r="I41" s="84">
        <f t="shared" si="3"/>
        <v>1.237565825804895</v>
      </c>
    </row>
    <row r="42" spans="1:9" s="17" customFormat="1" ht="22.5" customHeight="1">
      <c r="A42" s="46"/>
      <c r="B42" s="19" t="s">
        <v>4</v>
      </c>
      <c r="C42" s="16"/>
      <c r="D42" s="16"/>
      <c r="E42" s="15">
        <f t="shared" si="0"/>
        <v>0</v>
      </c>
      <c r="F42" s="16"/>
      <c r="G42" s="16">
        <v>6144.39</v>
      </c>
      <c r="H42" s="15">
        <f t="shared" si="1"/>
        <v>6144.39</v>
      </c>
      <c r="I42" s="84"/>
    </row>
    <row r="43" spans="1:9" s="17" customFormat="1" ht="13.5" customHeight="1">
      <c r="A43" s="46"/>
      <c r="B43" s="19" t="s">
        <v>69</v>
      </c>
      <c r="C43" s="16">
        <v>588881</v>
      </c>
      <c r="D43" s="16"/>
      <c r="E43" s="15">
        <f t="shared" si="0"/>
        <v>588881</v>
      </c>
      <c r="F43" s="16">
        <v>639198.78</v>
      </c>
      <c r="G43" s="16"/>
      <c r="H43" s="15">
        <f t="shared" si="1"/>
        <v>639198.78</v>
      </c>
      <c r="I43" s="84">
        <f aca="true" t="shared" si="4" ref="I43:I52">H43/E43</f>
        <v>1.085446431452195</v>
      </c>
    </row>
    <row r="44" spans="1:9" s="17" customFormat="1" ht="14.25" customHeight="1">
      <c r="A44" s="46"/>
      <c r="B44" s="19" t="s">
        <v>144</v>
      </c>
      <c r="C44" s="16">
        <v>62000</v>
      </c>
      <c r="D44" s="16"/>
      <c r="E44" s="15">
        <f t="shared" si="0"/>
        <v>62000</v>
      </c>
      <c r="F44" s="16"/>
      <c r="G44" s="16"/>
      <c r="H44" s="15">
        <f t="shared" si="1"/>
        <v>0</v>
      </c>
      <c r="I44" s="84">
        <f t="shared" si="4"/>
        <v>0</v>
      </c>
    </row>
    <row r="45" spans="1:9" s="17" customFormat="1" ht="22.5" customHeight="1">
      <c r="A45" s="46"/>
      <c r="B45" s="19" t="s">
        <v>145</v>
      </c>
      <c r="D45" s="16">
        <v>2000</v>
      </c>
      <c r="E45" s="15">
        <f>SUM(D45:D45)</f>
        <v>2000</v>
      </c>
      <c r="F45" s="16"/>
      <c r="G45" s="16">
        <v>1848.75</v>
      </c>
      <c r="H45" s="15">
        <f t="shared" si="1"/>
        <v>1848.75</v>
      </c>
      <c r="I45" s="84">
        <f t="shared" si="4"/>
        <v>0.924375</v>
      </c>
    </row>
    <row r="46" spans="1:9" s="17" customFormat="1" ht="15" customHeight="1">
      <c r="A46" s="46"/>
      <c r="B46" s="19" t="s">
        <v>70</v>
      </c>
      <c r="C46" s="16"/>
      <c r="D46" s="16">
        <v>462490</v>
      </c>
      <c r="E46" s="15">
        <f aca="true" t="shared" si="5" ref="E46:E64">SUM(C46:D46)</f>
        <v>462490</v>
      </c>
      <c r="F46" s="16"/>
      <c r="G46" s="16">
        <v>494147.95</v>
      </c>
      <c r="H46" s="15">
        <f t="shared" si="1"/>
        <v>494147.95</v>
      </c>
      <c r="I46" s="84">
        <f t="shared" si="4"/>
        <v>1.068451101645441</v>
      </c>
    </row>
    <row r="47" spans="1:9" s="17" customFormat="1" ht="44.25" customHeight="1">
      <c r="A47" s="46"/>
      <c r="B47" s="19" t="s">
        <v>71</v>
      </c>
      <c r="C47" s="16">
        <f>15000+50000+420000</f>
        <v>485000</v>
      </c>
      <c r="D47" s="16">
        <f>42000+45000</f>
        <v>87000</v>
      </c>
      <c r="E47" s="15">
        <f t="shared" si="5"/>
        <v>572000</v>
      </c>
      <c r="F47" s="16">
        <f>16821.5+78518.85+599106.9</f>
        <v>694447.25</v>
      </c>
      <c r="G47" s="16">
        <f>58743+97486.5</f>
        <v>156229.5</v>
      </c>
      <c r="H47" s="15">
        <f t="shared" si="1"/>
        <v>850676.75</v>
      </c>
      <c r="I47" s="84">
        <f t="shared" si="4"/>
        <v>1.4871971153846153</v>
      </c>
    </row>
    <row r="48" spans="1:9" s="17" customFormat="1" ht="11.25" customHeight="1">
      <c r="A48" s="46"/>
      <c r="B48" s="67" t="s">
        <v>157</v>
      </c>
      <c r="C48" s="16">
        <v>25000</v>
      </c>
      <c r="D48" s="16"/>
      <c r="E48" s="15">
        <f t="shared" si="5"/>
        <v>25000</v>
      </c>
      <c r="F48" s="16">
        <v>188865.56</v>
      </c>
      <c r="G48" s="16"/>
      <c r="H48" s="15">
        <f t="shared" si="1"/>
        <v>188865.56</v>
      </c>
      <c r="I48" s="84">
        <f t="shared" si="4"/>
        <v>7.5546223999999995</v>
      </c>
    </row>
    <row r="49" spans="1:9" s="17" customFormat="1" ht="13.5" customHeight="1">
      <c r="A49" s="50"/>
      <c r="B49" s="13" t="s">
        <v>72</v>
      </c>
      <c r="C49" s="16"/>
      <c r="D49" s="16">
        <v>2000000</v>
      </c>
      <c r="E49" s="15">
        <f t="shared" si="5"/>
        <v>2000000</v>
      </c>
      <c r="F49" s="16"/>
      <c r="G49" s="16">
        <v>2382742.63</v>
      </c>
      <c r="H49" s="15">
        <f t="shared" si="1"/>
        <v>2382742.63</v>
      </c>
      <c r="I49" s="84">
        <f t="shared" si="4"/>
        <v>1.191371315</v>
      </c>
    </row>
    <row r="50" spans="1:9" s="17" customFormat="1" ht="21.75" customHeight="1">
      <c r="A50" s="50"/>
      <c r="B50" s="19" t="s">
        <v>73</v>
      </c>
      <c r="C50" s="16">
        <f>82500+500+25000+900-25000</f>
        <v>83900</v>
      </c>
      <c r="D50" s="16">
        <v>1300</v>
      </c>
      <c r="E50" s="15">
        <f t="shared" si="5"/>
        <v>85200</v>
      </c>
      <c r="F50" s="16">
        <f>29231.65+2485.25+18.8+2456.56</f>
        <v>34192.26</v>
      </c>
      <c r="G50" s="16">
        <f>3.38+579.24+1200.72</f>
        <v>1783.3400000000001</v>
      </c>
      <c r="H50" s="15">
        <f t="shared" si="1"/>
        <v>35975.600000000006</v>
      </c>
      <c r="I50" s="84">
        <f t="shared" si="4"/>
        <v>0.4222488262910799</v>
      </c>
    </row>
    <row r="51" spans="1:9" s="17" customFormat="1" ht="12.75" customHeight="1">
      <c r="A51" s="46"/>
      <c r="B51" s="19" t="s">
        <v>76</v>
      </c>
      <c r="C51" s="16">
        <v>30000</v>
      </c>
      <c r="D51" s="16"/>
      <c r="E51" s="15">
        <f t="shared" si="5"/>
        <v>30000</v>
      </c>
      <c r="F51" s="16">
        <v>10383.12</v>
      </c>
      <c r="G51" s="16"/>
      <c r="H51" s="15">
        <f t="shared" si="1"/>
        <v>10383.12</v>
      </c>
      <c r="I51" s="84">
        <f t="shared" si="4"/>
        <v>0.346104</v>
      </c>
    </row>
    <row r="52" spans="1:9" s="18" customFormat="1" ht="26.25" customHeight="1">
      <c r="A52" s="50"/>
      <c r="B52" s="19" t="s">
        <v>77</v>
      </c>
      <c r="C52" s="16"/>
      <c r="D52" s="16">
        <f>860000+500000</f>
        <v>1360000</v>
      </c>
      <c r="E52" s="15">
        <f t="shared" si="5"/>
        <v>1360000</v>
      </c>
      <c r="F52" s="16"/>
      <c r="G52" s="16">
        <f>43814.02+49540.13+1680429.04+84587.8</f>
        <v>1858370.99</v>
      </c>
      <c r="H52" s="15">
        <f t="shared" si="1"/>
        <v>1858370.99</v>
      </c>
      <c r="I52" s="84">
        <f t="shared" si="4"/>
        <v>1.3664492573529412</v>
      </c>
    </row>
    <row r="53" spans="1:9" s="1" customFormat="1" ht="10.5" customHeight="1">
      <c r="A53" s="51"/>
      <c r="B53" s="29" t="s">
        <v>78</v>
      </c>
      <c r="C53" s="16">
        <f>2000000+1326428+2161011+922549+1200000</f>
        <v>7609988</v>
      </c>
      <c r="D53" s="16"/>
      <c r="E53" s="15">
        <f t="shared" si="5"/>
        <v>7609988</v>
      </c>
      <c r="F53" s="16">
        <v>8082656.7</v>
      </c>
      <c r="G53" s="16">
        <v>909.99</v>
      </c>
      <c r="H53" s="15">
        <f t="shared" si="1"/>
        <v>8083566.69</v>
      </c>
      <c r="I53" s="84">
        <f>H53/E53</f>
        <v>1.062231200627386</v>
      </c>
    </row>
    <row r="54" spans="1:9" s="17" customFormat="1" ht="11.25">
      <c r="A54" s="46"/>
      <c r="B54" s="19" t="s">
        <v>79</v>
      </c>
      <c r="C54" s="16">
        <f>SUM(C55:C59)</f>
        <v>135000</v>
      </c>
      <c r="D54" s="16">
        <f>SUM(D55:D59)</f>
        <v>0</v>
      </c>
      <c r="E54" s="15">
        <f t="shared" si="5"/>
        <v>135000</v>
      </c>
      <c r="F54" s="16">
        <f>SUM(F55:F59)</f>
        <v>2073705.4999999995</v>
      </c>
      <c r="G54" s="16">
        <f>SUM(G55:G59)</f>
        <v>71385.37000000001</v>
      </c>
      <c r="H54" s="15">
        <f t="shared" si="1"/>
        <v>2145090.8699999996</v>
      </c>
      <c r="I54" s="84">
        <f>H54/E54</f>
        <v>15.889561999999998</v>
      </c>
    </row>
    <row r="55" spans="1:9" s="57" customFormat="1" ht="12" customHeight="1">
      <c r="A55" s="55"/>
      <c r="B55" s="56" t="s">
        <v>124</v>
      </c>
      <c r="C55" s="22"/>
      <c r="D55" s="22"/>
      <c r="E55" s="21">
        <f t="shared" si="5"/>
        <v>0</v>
      </c>
      <c r="F55" s="22">
        <f>27905.75+20777.94</f>
        <v>48683.69</v>
      </c>
      <c r="G55" s="22"/>
      <c r="H55" s="21">
        <f t="shared" si="1"/>
        <v>48683.69</v>
      </c>
      <c r="I55" s="84"/>
    </row>
    <row r="56" spans="1:9" s="57" customFormat="1" ht="21" customHeight="1">
      <c r="A56" s="55"/>
      <c r="B56" s="56" t="s">
        <v>8</v>
      </c>
      <c r="C56" s="22"/>
      <c r="D56" s="22"/>
      <c r="E56" s="21">
        <f t="shared" si="5"/>
        <v>0</v>
      </c>
      <c r="F56" s="22">
        <v>39574.73</v>
      </c>
      <c r="G56" s="22"/>
      <c r="H56" s="21">
        <f t="shared" si="1"/>
        <v>39574.73</v>
      </c>
      <c r="I56" s="84"/>
    </row>
    <row r="57" spans="1:9" s="23" customFormat="1" ht="11.25" customHeight="1">
      <c r="A57" s="49"/>
      <c r="B57" s="20" t="s">
        <v>80</v>
      </c>
      <c r="C57" s="22">
        <v>135000</v>
      </c>
      <c r="D57" s="22"/>
      <c r="E57" s="21">
        <f t="shared" si="5"/>
        <v>135000</v>
      </c>
      <c r="F57" s="22">
        <v>221192.12</v>
      </c>
      <c r="G57" s="22"/>
      <c r="H57" s="21">
        <f t="shared" si="1"/>
        <v>221192.12</v>
      </c>
      <c r="I57" s="84">
        <f>H57/E57</f>
        <v>1.6384601481481482</v>
      </c>
    </row>
    <row r="58" spans="1:9" s="23" customFormat="1" ht="14.25" customHeight="1">
      <c r="A58" s="47"/>
      <c r="B58" s="20" t="s">
        <v>81</v>
      </c>
      <c r="C58" s="22"/>
      <c r="D58" s="22"/>
      <c r="E58" s="21">
        <f t="shared" si="5"/>
        <v>0</v>
      </c>
      <c r="F58" s="22">
        <f>128.1+658.64+90351.39+116692.67+24783.21+50.75+457.66+275+4914.99+250+265479.48+23262.1+62.16+10057.21+1358.23+7816.19+151.38+9286.19+14178.73+619.97+504+566.6+16768.43+7.37+3952.8+32195.15+107.1+17.6+1566.27+5114.16+48008.73+2503.1+5141.72+958.96+8.8+9.86+51176.87+234.32+4.74+4426.9+30905.19+26532.51+630+19612.3+57794.45+3567.84+2501.07+1863.76+1786.01+7713.9+9004.12+200.7+557.47+5233.63+10087.68-0.26</f>
        <v>922097.8999999997</v>
      </c>
      <c r="G58" s="22">
        <f>8043.26+2593.3+3346.2+20.6+5426.76+581+8.8+122.2+5697.11+1.35+1212.87+5612.9+3239.31+3974.5+6.89+993.62+49.07+25.66+21833.41+215.98+1.55+219</f>
        <v>63225.340000000004</v>
      </c>
      <c r="H58" s="21">
        <f aca="true" t="shared" si="6" ref="H58:H94">SUM(F58:G58)</f>
        <v>985323.2399999996</v>
      </c>
      <c r="I58" s="84"/>
    </row>
    <row r="59" spans="1:9" s="23" customFormat="1" ht="34.5" customHeight="1">
      <c r="A59" s="47"/>
      <c r="B59" s="20" t="s">
        <v>7</v>
      </c>
      <c r="C59" s="22"/>
      <c r="D59" s="22"/>
      <c r="E59" s="21">
        <f t="shared" si="5"/>
        <v>0</v>
      </c>
      <c r="F59" s="22">
        <f>127313+1575.24+246.4+1059.96+908.29+131566.71+35235.04+621.28+5292.56+12318.83+1748.05+13472.17+8943.24+500739.29+1117</f>
        <v>842157.0599999999</v>
      </c>
      <c r="G59" s="22">
        <f>4874.5+3190.53+44+51</f>
        <v>8160.030000000001</v>
      </c>
      <c r="H59" s="21">
        <f t="shared" si="6"/>
        <v>850317.09</v>
      </c>
      <c r="I59" s="84"/>
    </row>
    <row r="60" spans="1:9" s="12" customFormat="1" ht="18.75" customHeight="1">
      <c r="A60" s="25">
        <v>5</v>
      </c>
      <c r="B60" s="27" t="s">
        <v>154</v>
      </c>
      <c r="C60" s="10">
        <f>SUM(C61:C75)</f>
        <v>6911867</v>
      </c>
      <c r="D60" s="10">
        <f>SUM(D61:D75)</f>
        <v>1084922</v>
      </c>
      <c r="E60" s="28">
        <f t="shared" si="5"/>
        <v>7996789</v>
      </c>
      <c r="F60" s="10">
        <f>SUM(F61:F75)</f>
        <v>6554806.86</v>
      </c>
      <c r="G60" s="10">
        <f>SUM(G61:G75)</f>
        <v>1212760.02</v>
      </c>
      <c r="H60" s="28">
        <f t="shared" si="6"/>
        <v>7767566.880000001</v>
      </c>
      <c r="I60" s="84">
        <f aca="true" t="shared" si="7" ref="I60:I66">H60/E60</f>
        <v>0.9713357298785801</v>
      </c>
    </row>
    <row r="61" spans="1:9" s="32" customFormat="1" ht="12.75" customHeight="1">
      <c r="A61" s="51"/>
      <c r="B61" s="30" t="s">
        <v>82</v>
      </c>
      <c r="C61" s="16">
        <v>52000</v>
      </c>
      <c r="D61" s="16"/>
      <c r="E61" s="15">
        <f t="shared" si="5"/>
        <v>52000</v>
      </c>
      <c r="F61" s="16">
        <f>49022+8374</f>
        <v>57396</v>
      </c>
      <c r="G61" s="16">
        <v>510</v>
      </c>
      <c r="H61" s="15">
        <f t="shared" si="6"/>
        <v>57906</v>
      </c>
      <c r="I61" s="84">
        <f t="shared" si="7"/>
        <v>1.113576923076923</v>
      </c>
    </row>
    <row r="62" spans="1:9" s="2" customFormat="1" ht="12.75" customHeight="1">
      <c r="A62" s="51"/>
      <c r="B62" s="34" t="s">
        <v>83</v>
      </c>
      <c r="C62" s="16"/>
      <c r="D62" s="16">
        <v>14820</v>
      </c>
      <c r="E62" s="15">
        <f t="shared" si="5"/>
        <v>14820</v>
      </c>
      <c r="F62" s="16"/>
      <c r="G62" s="16">
        <v>15144.29</v>
      </c>
      <c r="H62" s="15">
        <f t="shared" si="6"/>
        <v>15144.29</v>
      </c>
      <c r="I62" s="84">
        <f t="shared" si="7"/>
        <v>1.0218819163292847</v>
      </c>
    </row>
    <row r="63" spans="1:9" s="7" customFormat="1" ht="22.5" customHeight="1">
      <c r="A63" s="51"/>
      <c r="B63" s="34" t="s">
        <v>84</v>
      </c>
      <c r="C63" s="16"/>
      <c r="D63" s="16">
        <v>348550</v>
      </c>
      <c r="E63" s="15">
        <f t="shared" si="5"/>
        <v>348550</v>
      </c>
      <c r="F63" s="16"/>
      <c r="G63" s="16">
        <v>348549.96</v>
      </c>
      <c r="H63" s="15">
        <f t="shared" si="6"/>
        <v>348549.96</v>
      </c>
      <c r="I63" s="84">
        <f t="shared" si="7"/>
        <v>0.9999998852388468</v>
      </c>
    </row>
    <row r="64" spans="1:9" s="7" customFormat="1" ht="12" customHeight="1">
      <c r="A64" s="51"/>
      <c r="B64" s="34" t="s">
        <v>85</v>
      </c>
      <c r="C64" s="16"/>
      <c r="D64" s="16">
        <v>190000</v>
      </c>
      <c r="E64" s="15">
        <f t="shared" si="5"/>
        <v>190000</v>
      </c>
      <c r="F64" s="16"/>
      <c r="G64" s="16">
        <v>300876.92</v>
      </c>
      <c r="H64" s="15">
        <f t="shared" si="6"/>
        <v>300876.92</v>
      </c>
      <c r="I64" s="84">
        <f t="shared" si="7"/>
        <v>1.5835627368421052</v>
      </c>
    </row>
    <row r="65" spans="1:9" s="7" customFormat="1" ht="38.25" customHeight="1">
      <c r="A65" s="51"/>
      <c r="B65" s="34" t="s">
        <v>86</v>
      </c>
      <c r="C65" s="16"/>
      <c r="D65" s="16">
        <v>45000</v>
      </c>
      <c r="E65" s="15">
        <f aca="true" t="shared" si="8" ref="E65:E83">SUM(C65:D65)</f>
        <v>45000</v>
      </c>
      <c r="F65" s="16"/>
      <c r="G65" s="16">
        <v>69030</v>
      </c>
      <c r="H65" s="15">
        <f t="shared" si="6"/>
        <v>69030</v>
      </c>
      <c r="I65" s="84">
        <f t="shared" si="7"/>
        <v>1.534</v>
      </c>
    </row>
    <row r="66" spans="1:9" s="7" customFormat="1" ht="11.25" customHeight="1">
      <c r="A66" s="51"/>
      <c r="B66" s="34" t="s">
        <v>87</v>
      </c>
      <c r="C66" s="5"/>
      <c r="D66" s="16">
        <v>130000</v>
      </c>
      <c r="E66" s="15">
        <f t="shared" si="8"/>
        <v>130000</v>
      </c>
      <c r="F66" s="85"/>
      <c r="G66" s="16">
        <v>107867.73</v>
      </c>
      <c r="H66" s="15">
        <f t="shared" si="6"/>
        <v>107867.73</v>
      </c>
      <c r="I66" s="84">
        <f t="shared" si="7"/>
        <v>0.8297517692307692</v>
      </c>
    </row>
    <row r="67" spans="1:9" s="7" customFormat="1" ht="14.25" customHeight="1">
      <c r="A67" s="51"/>
      <c r="B67" s="34" t="s">
        <v>150</v>
      </c>
      <c r="C67" s="16"/>
      <c r="D67" s="16"/>
      <c r="E67" s="15">
        <f t="shared" si="8"/>
        <v>0</v>
      </c>
      <c r="F67" s="16">
        <v>547</v>
      </c>
      <c r="G67" s="16"/>
      <c r="H67" s="15">
        <f t="shared" si="6"/>
        <v>547</v>
      </c>
      <c r="I67" s="84"/>
    </row>
    <row r="68" spans="1:9" s="17" customFormat="1" ht="36" customHeight="1">
      <c r="A68" s="50"/>
      <c r="B68" s="13" t="s">
        <v>88</v>
      </c>
      <c r="C68" s="16">
        <f>4769588+428472+9900+28200+15050</f>
        <v>5251210</v>
      </c>
      <c r="D68" s="16"/>
      <c r="E68" s="15">
        <f t="shared" si="8"/>
        <v>5251210</v>
      </c>
      <c r="F68" s="16">
        <f>5582959.07-392485.05</f>
        <v>5190474.0200000005</v>
      </c>
      <c r="G68" s="16"/>
      <c r="H68" s="15">
        <f t="shared" si="6"/>
        <v>5190474.0200000005</v>
      </c>
      <c r="I68" s="84">
        <f aca="true" t="shared" si="9" ref="I68:I84">H68/E68</f>
        <v>0.9884339076136739</v>
      </c>
    </row>
    <row r="69" spans="1:9" s="7" customFormat="1" ht="45" customHeight="1">
      <c r="A69" s="51"/>
      <c r="B69" s="34" t="s">
        <v>9</v>
      </c>
      <c r="C69" s="31">
        <v>433170</v>
      </c>
      <c r="D69" s="31"/>
      <c r="E69" s="15">
        <f t="shared" si="8"/>
        <v>433170</v>
      </c>
      <c r="F69" s="31">
        <v>433170</v>
      </c>
      <c r="G69" s="31"/>
      <c r="H69" s="15">
        <f t="shared" si="6"/>
        <v>433170</v>
      </c>
      <c r="I69" s="84">
        <f t="shared" si="9"/>
        <v>1</v>
      </c>
    </row>
    <row r="70" spans="1:9" s="7" customFormat="1" ht="49.5" customHeight="1">
      <c r="A70" s="51"/>
      <c r="B70" s="34" t="s">
        <v>20</v>
      </c>
      <c r="C70" s="31">
        <v>350000</v>
      </c>
      <c r="D70" s="31"/>
      <c r="E70" s="15">
        <f t="shared" si="8"/>
        <v>350000</v>
      </c>
      <c r="F70" s="31">
        <v>350000</v>
      </c>
      <c r="G70" s="31"/>
      <c r="H70" s="15">
        <f t="shared" si="6"/>
        <v>350000</v>
      </c>
      <c r="I70" s="84">
        <f t="shared" si="9"/>
        <v>1</v>
      </c>
    </row>
    <row r="71" spans="1:9" s="17" customFormat="1" ht="36.75" customHeight="1">
      <c r="A71" s="50"/>
      <c r="B71" s="13" t="s">
        <v>6</v>
      </c>
      <c r="C71" s="16"/>
      <c r="D71" s="16">
        <v>356552</v>
      </c>
      <c r="E71" s="15">
        <f t="shared" si="8"/>
        <v>356552</v>
      </c>
      <c r="F71" s="16"/>
      <c r="G71" s="16">
        <v>370781.12</v>
      </c>
      <c r="H71" s="15">
        <f t="shared" si="6"/>
        <v>370781.12</v>
      </c>
      <c r="I71" s="84">
        <f t="shared" si="9"/>
        <v>1.0399075590657183</v>
      </c>
    </row>
    <row r="72" spans="1:9" s="17" customFormat="1" ht="34.5" customHeight="1">
      <c r="A72" s="50"/>
      <c r="B72" s="13" t="s">
        <v>14</v>
      </c>
      <c r="C72" s="16">
        <v>100000</v>
      </c>
      <c r="D72" s="16"/>
      <c r="E72" s="15">
        <f t="shared" si="8"/>
        <v>100000</v>
      </c>
      <c r="F72" s="16">
        <v>100000</v>
      </c>
      <c r="G72" s="16"/>
      <c r="H72" s="15">
        <f t="shared" si="6"/>
        <v>100000</v>
      </c>
      <c r="I72" s="84">
        <f t="shared" si="9"/>
        <v>1</v>
      </c>
    </row>
    <row r="73" spans="1:9" s="17" customFormat="1" ht="35.25" customHeight="1">
      <c r="A73" s="50"/>
      <c r="B73" s="13" t="s">
        <v>21</v>
      </c>
      <c r="C73" s="16">
        <v>333000</v>
      </c>
      <c r="D73" s="16"/>
      <c r="E73" s="15">
        <f t="shared" si="8"/>
        <v>333000</v>
      </c>
      <c r="F73" s="16"/>
      <c r="G73" s="16"/>
      <c r="H73" s="15">
        <f t="shared" si="6"/>
        <v>0</v>
      </c>
      <c r="I73" s="84">
        <f t="shared" si="9"/>
        <v>0</v>
      </c>
    </row>
    <row r="74" spans="1:9" s="2" customFormat="1" ht="33" customHeight="1">
      <c r="A74" s="51"/>
      <c r="B74" s="29" t="s">
        <v>92</v>
      </c>
      <c r="C74" s="16"/>
      <c r="D74" s="16"/>
      <c r="E74" s="15">
        <f>SUM(C74:D74)</f>
        <v>0</v>
      </c>
      <c r="F74" s="16">
        <v>30734.79</v>
      </c>
      <c r="G74" s="16"/>
      <c r="H74" s="15">
        <f>SUM(F74:G74)</f>
        <v>30734.79</v>
      </c>
      <c r="I74" s="84"/>
    </row>
    <row r="75" spans="1:9" s="17" customFormat="1" ht="24.75" customHeight="1">
      <c r="A75" s="50"/>
      <c r="B75" s="13" t="s">
        <v>162</v>
      </c>
      <c r="C75" s="16">
        <f>450000+50000-107513</f>
        <v>392487</v>
      </c>
      <c r="D75" s="16"/>
      <c r="E75" s="15">
        <f t="shared" si="8"/>
        <v>392487</v>
      </c>
      <c r="F75" s="16">
        <v>392485.05</v>
      </c>
      <c r="G75" s="16"/>
      <c r="H75" s="15">
        <f t="shared" si="6"/>
        <v>392485.05</v>
      </c>
      <c r="I75" s="84">
        <f t="shared" si="9"/>
        <v>0.999995031682578</v>
      </c>
    </row>
    <row r="76" spans="1:9" s="12" customFormat="1" ht="28.5" customHeight="1">
      <c r="A76" s="25">
        <v>6</v>
      </c>
      <c r="B76" s="27" t="s">
        <v>89</v>
      </c>
      <c r="C76" s="10">
        <f>SUM(C77:C88)</f>
        <v>9375619</v>
      </c>
      <c r="D76" s="10">
        <f>SUM(D77:D88)</f>
        <v>398930</v>
      </c>
      <c r="E76" s="28">
        <f t="shared" si="8"/>
        <v>9774549</v>
      </c>
      <c r="F76" s="10">
        <f>SUM(F77:F88)</f>
        <v>8859541.040000001</v>
      </c>
      <c r="G76" s="10">
        <f>SUM(G77:G88)</f>
        <v>398962</v>
      </c>
      <c r="H76" s="28">
        <f t="shared" si="6"/>
        <v>9258503.040000001</v>
      </c>
      <c r="I76" s="84">
        <f t="shared" si="9"/>
        <v>0.9472051385695648</v>
      </c>
    </row>
    <row r="77" spans="1:9" s="7" customFormat="1" ht="35.25" customHeight="1">
      <c r="A77" s="51"/>
      <c r="B77" s="34" t="s">
        <v>123</v>
      </c>
      <c r="C77" s="16"/>
      <c r="D77" s="16">
        <v>301868</v>
      </c>
      <c r="E77" s="15">
        <f t="shared" si="8"/>
        <v>301868</v>
      </c>
      <c r="F77" s="16"/>
      <c r="G77" s="16">
        <v>301900</v>
      </c>
      <c r="H77" s="15">
        <f t="shared" si="6"/>
        <v>301900</v>
      </c>
      <c r="I77" s="84">
        <f t="shared" si="9"/>
        <v>1.0001060065989107</v>
      </c>
    </row>
    <row r="78" spans="1:9" s="7" customFormat="1" ht="45.75" customHeight="1">
      <c r="A78" s="51"/>
      <c r="B78" s="13" t="s">
        <v>160</v>
      </c>
      <c r="C78" s="16">
        <v>11430</v>
      </c>
      <c r="D78" s="16"/>
      <c r="E78" s="15">
        <f t="shared" si="8"/>
        <v>11430</v>
      </c>
      <c r="F78" s="16">
        <v>10423.97</v>
      </c>
      <c r="G78" s="16"/>
      <c r="H78" s="15">
        <f t="shared" si="6"/>
        <v>10423.97</v>
      </c>
      <c r="I78" s="84">
        <f t="shared" si="9"/>
        <v>0.9119833770778653</v>
      </c>
    </row>
    <row r="79" spans="1:9" s="7" customFormat="1" ht="23.25" customHeight="1">
      <c r="A79" s="51"/>
      <c r="B79" s="34" t="s">
        <v>13</v>
      </c>
      <c r="C79" s="31">
        <v>7158000</v>
      </c>
      <c r="D79" s="31"/>
      <c r="E79" s="15">
        <f t="shared" si="8"/>
        <v>7158000</v>
      </c>
      <c r="F79" s="31">
        <v>7000000</v>
      </c>
      <c r="G79" s="31"/>
      <c r="H79" s="15">
        <f t="shared" si="6"/>
        <v>7000000</v>
      </c>
      <c r="I79" s="84">
        <f t="shared" si="9"/>
        <v>0.9779267951941883</v>
      </c>
    </row>
    <row r="80" spans="1:9" s="7" customFormat="1" ht="24" customHeight="1">
      <c r="A80" s="51"/>
      <c r="B80" s="34" t="s">
        <v>12</v>
      </c>
      <c r="C80" s="31">
        <v>1000000</v>
      </c>
      <c r="D80" s="31"/>
      <c r="E80" s="15">
        <f t="shared" si="8"/>
        <v>1000000</v>
      </c>
      <c r="F80" s="31">
        <v>1000000</v>
      </c>
      <c r="G80" s="31"/>
      <c r="H80" s="15">
        <f t="shared" si="6"/>
        <v>1000000</v>
      </c>
      <c r="I80" s="84">
        <f t="shared" si="9"/>
        <v>1</v>
      </c>
    </row>
    <row r="81" spans="1:9" s="7" customFormat="1" ht="22.5" customHeight="1">
      <c r="A81" s="51"/>
      <c r="B81" s="13" t="s">
        <v>16</v>
      </c>
      <c r="C81" s="31">
        <v>39000</v>
      </c>
      <c r="D81" s="31"/>
      <c r="E81" s="15">
        <f t="shared" si="8"/>
        <v>39000</v>
      </c>
      <c r="F81" s="31">
        <v>39000</v>
      </c>
      <c r="G81" s="31"/>
      <c r="H81" s="15">
        <f t="shared" si="6"/>
        <v>39000</v>
      </c>
      <c r="I81" s="84">
        <f t="shared" si="9"/>
        <v>1</v>
      </c>
    </row>
    <row r="82" spans="1:9" s="7" customFormat="1" ht="21" customHeight="1">
      <c r="A82" s="51"/>
      <c r="B82" s="34" t="s">
        <v>131</v>
      </c>
      <c r="C82" s="31">
        <v>42871</v>
      </c>
      <c r="D82" s="31"/>
      <c r="E82" s="15">
        <f t="shared" si="8"/>
        <v>42871</v>
      </c>
      <c r="F82" s="31">
        <f>8.56+81895.29</f>
        <v>81903.84999999999</v>
      </c>
      <c r="G82" s="31"/>
      <c r="H82" s="15">
        <f t="shared" si="6"/>
        <v>81903.84999999999</v>
      </c>
      <c r="I82" s="84">
        <f t="shared" si="9"/>
        <v>1.9104721140164678</v>
      </c>
    </row>
    <row r="83" spans="1:9" s="7" customFormat="1" ht="11.25">
      <c r="A83" s="51"/>
      <c r="B83" s="34" t="s">
        <v>140</v>
      </c>
      <c r="C83" s="31">
        <v>20000</v>
      </c>
      <c r="D83" s="31"/>
      <c r="E83" s="15">
        <f t="shared" si="8"/>
        <v>20000</v>
      </c>
      <c r="F83" s="31"/>
      <c r="G83" s="31"/>
      <c r="H83" s="15">
        <f t="shared" si="6"/>
        <v>0</v>
      </c>
      <c r="I83" s="84">
        <f t="shared" si="9"/>
        <v>0</v>
      </c>
    </row>
    <row r="84" spans="1:9" s="7" customFormat="1" ht="33.75" customHeight="1">
      <c r="A84" s="51"/>
      <c r="B84" s="34" t="s">
        <v>146</v>
      </c>
      <c r="C84" s="16">
        <f>10020+87000+97498</f>
        <v>194518</v>
      </c>
      <c r="D84" s="16">
        <f>97062</f>
        <v>97062</v>
      </c>
      <c r="E84" s="15">
        <f aca="true" t="shared" si="10" ref="E84:E101">SUM(C84:D84)</f>
        <v>291580</v>
      </c>
      <c r="F84" s="16">
        <f>10020+87000+97498</f>
        <v>194518</v>
      </c>
      <c r="G84" s="16">
        <v>97062</v>
      </c>
      <c r="H84" s="15">
        <f t="shared" si="6"/>
        <v>291580</v>
      </c>
      <c r="I84" s="84">
        <f t="shared" si="9"/>
        <v>1</v>
      </c>
    </row>
    <row r="85" spans="1:9" s="17" customFormat="1" ht="39.75" customHeight="1">
      <c r="A85" s="50"/>
      <c r="B85" s="34" t="s">
        <v>15</v>
      </c>
      <c r="C85" s="16">
        <v>100000</v>
      </c>
      <c r="D85" s="16"/>
      <c r="E85" s="15">
        <f t="shared" si="10"/>
        <v>100000</v>
      </c>
      <c r="F85" s="16">
        <v>100000</v>
      </c>
      <c r="G85" s="16"/>
      <c r="H85" s="15">
        <f t="shared" si="6"/>
        <v>100000</v>
      </c>
      <c r="I85" s="84">
        <f aca="true" t="shared" si="11" ref="I85:I107">H85/E85</f>
        <v>1</v>
      </c>
    </row>
    <row r="86" spans="1:9" s="17" customFormat="1" ht="32.25" customHeight="1">
      <c r="A86" s="50"/>
      <c r="B86" s="34" t="s">
        <v>23</v>
      </c>
      <c r="C86" s="16">
        <v>200000</v>
      </c>
      <c r="D86" s="16"/>
      <c r="E86" s="15">
        <f t="shared" si="10"/>
        <v>200000</v>
      </c>
      <c r="F86" s="16">
        <v>200000</v>
      </c>
      <c r="G86" s="16"/>
      <c r="H86" s="15">
        <f t="shared" si="6"/>
        <v>200000</v>
      </c>
      <c r="I86" s="84">
        <f t="shared" si="11"/>
        <v>1</v>
      </c>
    </row>
    <row r="87" spans="1:9" s="17" customFormat="1" ht="34.5" customHeight="1">
      <c r="A87" s="50"/>
      <c r="B87" s="34" t="s">
        <v>25</v>
      </c>
      <c r="C87" s="16">
        <v>150000</v>
      </c>
      <c r="D87" s="16"/>
      <c r="E87" s="15">
        <f t="shared" si="10"/>
        <v>150000</v>
      </c>
      <c r="F87" s="16">
        <v>150000</v>
      </c>
      <c r="G87" s="16"/>
      <c r="H87" s="15">
        <f t="shared" si="6"/>
        <v>150000</v>
      </c>
      <c r="I87" s="84">
        <f t="shared" si="11"/>
        <v>1</v>
      </c>
    </row>
    <row r="88" spans="1:9" s="17" customFormat="1" ht="14.25" customHeight="1">
      <c r="A88" s="50"/>
      <c r="B88" s="13" t="s">
        <v>137</v>
      </c>
      <c r="C88" s="16">
        <f>20800+29000+46000+24000+100000+240000</f>
        <v>459800</v>
      </c>
      <c r="D88" s="16"/>
      <c r="E88" s="15">
        <f t="shared" si="10"/>
        <v>459800</v>
      </c>
      <c r="F88" s="16">
        <f>44589.55+39105.67</f>
        <v>83695.22</v>
      </c>
      <c r="G88" s="16"/>
      <c r="H88" s="15">
        <f t="shared" si="6"/>
        <v>83695.22</v>
      </c>
      <c r="I88" s="84">
        <f t="shared" si="11"/>
        <v>0.18202527185732928</v>
      </c>
    </row>
    <row r="89" spans="1:9" s="12" customFormat="1" ht="24.75" customHeight="1">
      <c r="A89" s="25">
        <v>7</v>
      </c>
      <c r="B89" s="27" t="s">
        <v>90</v>
      </c>
      <c r="C89" s="28">
        <f>SUM(C90:C107)</f>
        <v>6990332</v>
      </c>
      <c r="D89" s="28">
        <f>SUM(D90:D107)</f>
        <v>68121131</v>
      </c>
      <c r="E89" s="28">
        <f t="shared" si="10"/>
        <v>75111463</v>
      </c>
      <c r="F89" s="28">
        <f>SUM(F90:F107)</f>
        <v>6082529.01</v>
      </c>
      <c r="G89" s="28">
        <f>SUM(G90:G107)</f>
        <v>55167458.06</v>
      </c>
      <c r="H89" s="28">
        <f t="shared" si="6"/>
        <v>61249987.07</v>
      </c>
      <c r="I89" s="84">
        <f t="shared" si="11"/>
        <v>0.8154545874043221</v>
      </c>
    </row>
    <row r="90" spans="1:9" s="2" customFormat="1" ht="11.25" customHeight="1">
      <c r="A90" s="51"/>
      <c r="B90" s="29" t="s">
        <v>91</v>
      </c>
      <c r="C90" s="16"/>
      <c r="D90" s="16">
        <v>13217075</v>
      </c>
      <c r="E90" s="15">
        <f t="shared" si="10"/>
        <v>13217075</v>
      </c>
      <c r="F90" s="16"/>
      <c r="G90" s="16">
        <v>12787033.64</v>
      </c>
      <c r="H90" s="15">
        <f t="shared" si="6"/>
        <v>12787033.64</v>
      </c>
      <c r="I90" s="84">
        <f t="shared" si="11"/>
        <v>0.9674631974169777</v>
      </c>
    </row>
    <row r="91" spans="1:9" s="2" customFormat="1" ht="13.5" customHeight="1">
      <c r="A91" s="51"/>
      <c r="B91" s="29" t="s">
        <v>10</v>
      </c>
      <c r="C91" s="16"/>
      <c r="D91" s="16">
        <f>40366228+9761490</f>
        <v>50127718</v>
      </c>
      <c r="E91" s="15">
        <f t="shared" si="10"/>
        <v>50127718</v>
      </c>
      <c r="F91" s="16"/>
      <c r="G91" s="16">
        <v>38756121.82</v>
      </c>
      <c r="H91" s="15">
        <f t="shared" si="6"/>
        <v>38756121.82</v>
      </c>
      <c r="I91" s="84">
        <f t="shared" si="11"/>
        <v>0.7731475392516372</v>
      </c>
    </row>
    <row r="92" spans="1:9" s="2" customFormat="1" ht="14.25" customHeight="1">
      <c r="A92" s="51"/>
      <c r="B92" s="29" t="s">
        <v>138</v>
      </c>
      <c r="C92" s="16"/>
      <c r="D92" s="16">
        <v>4594967</v>
      </c>
      <c r="E92" s="15">
        <f t="shared" si="10"/>
        <v>4594967</v>
      </c>
      <c r="F92" s="16"/>
      <c r="G92" s="16">
        <v>3485190.87</v>
      </c>
      <c r="H92" s="15">
        <f t="shared" si="6"/>
        <v>3485190.87</v>
      </c>
      <c r="I92" s="84">
        <f t="shared" si="11"/>
        <v>0.7584800652540051</v>
      </c>
    </row>
    <row r="93" spans="1:9" s="2" customFormat="1" ht="12.75" customHeight="1">
      <c r="A93" s="51"/>
      <c r="B93" s="13" t="s">
        <v>139</v>
      </c>
      <c r="C93" s="16">
        <v>22500</v>
      </c>
      <c r="D93" s="16"/>
      <c r="E93" s="15">
        <f t="shared" si="10"/>
        <v>22500</v>
      </c>
      <c r="F93" s="16"/>
      <c r="G93" s="16"/>
      <c r="H93" s="15">
        <f t="shared" si="6"/>
        <v>0</v>
      </c>
      <c r="I93" s="84">
        <f t="shared" si="11"/>
        <v>0</v>
      </c>
    </row>
    <row r="94" spans="1:9" s="2" customFormat="1" ht="15.75" customHeight="1">
      <c r="A94" s="51"/>
      <c r="B94" s="34" t="s">
        <v>128</v>
      </c>
      <c r="C94" s="16">
        <v>128616</v>
      </c>
      <c r="D94" s="16"/>
      <c r="E94" s="15">
        <f t="shared" si="10"/>
        <v>128616</v>
      </c>
      <c r="F94" s="16">
        <f>25.69+245685.88</f>
        <v>245711.57</v>
      </c>
      <c r="G94" s="16"/>
      <c r="H94" s="15">
        <f t="shared" si="6"/>
        <v>245711.57</v>
      </c>
      <c r="I94" s="84">
        <f t="shared" si="11"/>
        <v>1.9104277072836973</v>
      </c>
    </row>
    <row r="95" spans="1:9" s="17" customFormat="1" ht="14.25" customHeight="1">
      <c r="A95" s="50"/>
      <c r="B95" s="13" t="s">
        <v>1</v>
      </c>
      <c r="C95" s="16">
        <f>118621+5793+198639+5037</f>
        <v>328090</v>
      </c>
      <c r="D95" s="58">
        <f>72577+54979</f>
        <v>127556</v>
      </c>
      <c r="E95" s="15">
        <f t="shared" si="10"/>
        <v>455646</v>
      </c>
      <c r="F95" s="16">
        <f>3700.75+583.04+118679.6+491.99+6506.08+1750.6+201346.03</f>
        <v>333058.08999999997</v>
      </c>
      <c r="G95" s="14">
        <f>1285.73+9490.76+1652.66+73042.56</f>
        <v>85471.70999999999</v>
      </c>
      <c r="H95" s="15">
        <f aca="true" t="shared" si="12" ref="H95:H141">SUM(F95:G95)</f>
        <v>418529.79999999993</v>
      </c>
      <c r="I95" s="84">
        <f t="shared" si="11"/>
        <v>0.9185415871092908</v>
      </c>
    </row>
    <row r="96" spans="1:9" s="17" customFormat="1" ht="11.25" customHeight="1">
      <c r="A96" s="50"/>
      <c r="B96" s="13" t="s">
        <v>125</v>
      </c>
      <c r="C96" s="14">
        <f>147600-78712</f>
        <v>68888</v>
      </c>
      <c r="D96" s="14"/>
      <c r="E96" s="15">
        <f t="shared" si="10"/>
        <v>68888</v>
      </c>
      <c r="F96" s="16">
        <v>4342.44</v>
      </c>
      <c r="G96" s="14"/>
      <c r="H96" s="15">
        <f t="shared" si="12"/>
        <v>4342.44</v>
      </c>
      <c r="I96" s="84">
        <f t="shared" si="11"/>
        <v>0.06303623272558355</v>
      </c>
    </row>
    <row r="97" spans="1:9" s="17" customFormat="1" ht="12" customHeight="1">
      <c r="A97" s="50"/>
      <c r="B97" s="13" t="s">
        <v>129</v>
      </c>
      <c r="C97" s="14">
        <v>57847</v>
      </c>
      <c r="D97" s="14"/>
      <c r="E97" s="15">
        <f t="shared" si="10"/>
        <v>57847</v>
      </c>
      <c r="F97" s="14">
        <v>50779.24</v>
      </c>
      <c r="G97" s="14"/>
      <c r="H97" s="15">
        <f t="shared" si="12"/>
        <v>50779.24</v>
      </c>
      <c r="I97" s="84">
        <f t="shared" si="11"/>
        <v>0.8778197659342749</v>
      </c>
    </row>
    <row r="98" spans="1:9" s="2" customFormat="1" ht="36" customHeight="1">
      <c r="A98" s="51"/>
      <c r="B98" s="29" t="s">
        <v>126</v>
      </c>
      <c r="C98" s="16">
        <v>41193</v>
      </c>
      <c r="D98" s="58"/>
      <c r="E98" s="15">
        <f t="shared" si="10"/>
        <v>41193</v>
      </c>
      <c r="F98" s="16">
        <v>46616.38</v>
      </c>
      <c r="G98" s="31"/>
      <c r="H98" s="15">
        <f t="shared" si="12"/>
        <v>46616.38</v>
      </c>
      <c r="I98" s="84">
        <f t="shared" si="11"/>
        <v>1.131657805937902</v>
      </c>
    </row>
    <row r="99" spans="1:9" s="2" customFormat="1" ht="24.75" customHeight="1">
      <c r="A99" s="51"/>
      <c r="B99" s="29" t="s">
        <v>136</v>
      </c>
      <c r="C99" s="16">
        <f>33006+5944</f>
        <v>38950</v>
      </c>
      <c r="D99" s="58"/>
      <c r="E99" s="15">
        <f t="shared" si="10"/>
        <v>38950</v>
      </c>
      <c r="F99" s="16"/>
      <c r="G99" s="31"/>
      <c r="H99" s="15">
        <f t="shared" si="12"/>
        <v>0</v>
      </c>
      <c r="I99" s="84">
        <f t="shared" si="11"/>
        <v>0</v>
      </c>
    </row>
    <row r="100" spans="1:9" s="2" customFormat="1" ht="11.25" customHeight="1">
      <c r="A100" s="51"/>
      <c r="B100" s="34" t="s">
        <v>140</v>
      </c>
      <c r="C100" s="16">
        <v>26470</v>
      </c>
      <c r="D100" s="58"/>
      <c r="E100" s="15">
        <f t="shared" si="10"/>
        <v>26470</v>
      </c>
      <c r="F100" s="16">
        <f>119017+100+250930.08</f>
        <v>370047.07999999996</v>
      </c>
      <c r="G100" s="31"/>
      <c r="H100" s="15">
        <f t="shared" si="12"/>
        <v>370047.07999999996</v>
      </c>
      <c r="I100" s="84">
        <f t="shared" si="11"/>
        <v>13.979867019267093</v>
      </c>
    </row>
    <row r="101" spans="1:9" s="2" customFormat="1" ht="45.75" customHeight="1">
      <c r="A101" s="51"/>
      <c r="B101" s="34" t="s">
        <v>143</v>
      </c>
      <c r="C101" s="16">
        <v>4207717</v>
      </c>
      <c r="D101" s="58"/>
      <c r="E101" s="15">
        <f t="shared" si="10"/>
        <v>4207717</v>
      </c>
      <c r="F101" s="16">
        <v>2822539.3</v>
      </c>
      <c r="G101" s="31"/>
      <c r="H101" s="15">
        <f t="shared" si="12"/>
        <v>2822539.3</v>
      </c>
      <c r="I101" s="84">
        <f t="shared" si="11"/>
        <v>0.6708006503289076</v>
      </c>
    </row>
    <row r="102" spans="1:9" s="2" customFormat="1" ht="27" customHeight="1">
      <c r="A102" s="51"/>
      <c r="B102" s="34" t="s">
        <v>22</v>
      </c>
      <c r="C102" s="16"/>
      <c r="D102" s="16">
        <v>32820</v>
      </c>
      <c r="E102" s="15">
        <f aca="true" t="shared" si="13" ref="E102:E130">SUM(C102:D102)</f>
        <v>32820</v>
      </c>
      <c r="F102" s="16"/>
      <c r="G102" s="31">
        <v>53640.02</v>
      </c>
      <c r="H102" s="15">
        <f t="shared" si="12"/>
        <v>53640.02</v>
      </c>
      <c r="I102" s="84">
        <f t="shared" si="11"/>
        <v>1.6343698964046312</v>
      </c>
    </row>
    <row r="103" spans="1:9" s="2" customFormat="1" ht="32.25" customHeight="1">
      <c r="A103" s="51"/>
      <c r="B103" s="34" t="s">
        <v>19</v>
      </c>
      <c r="C103" s="16"/>
      <c r="D103" s="16">
        <v>20995</v>
      </c>
      <c r="E103" s="15">
        <f t="shared" si="13"/>
        <v>20995</v>
      </c>
      <c r="F103" s="16"/>
      <c r="G103" s="31"/>
      <c r="H103" s="15">
        <f t="shared" si="12"/>
        <v>0</v>
      </c>
      <c r="I103" s="84">
        <f t="shared" si="11"/>
        <v>0</v>
      </c>
    </row>
    <row r="104" spans="1:9" s="2" customFormat="1" ht="24" customHeight="1">
      <c r="A104" s="51"/>
      <c r="B104" s="34" t="s">
        <v>26</v>
      </c>
      <c r="C104" s="16">
        <f>365061</f>
        <v>365061</v>
      </c>
      <c r="D104" s="16"/>
      <c r="E104" s="15">
        <f t="shared" si="13"/>
        <v>365061</v>
      </c>
      <c r="F104" s="16">
        <v>340799.34</v>
      </c>
      <c r="G104" s="31"/>
      <c r="H104" s="15">
        <f t="shared" si="12"/>
        <v>340799.34</v>
      </c>
      <c r="I104" s="84">
        <f t="shared" si="11"/>
        <v>0.9335408055092164</v>
      </c>
    </row>
    <row r="105" spans="1:9" s="2" customFormat="1" ht="33" customHeight="1">
      <c r="A105" s="51"/>
      <c r="B105" s="34" t="s">
        <v>5</v>
      </c>
      <c r="C105" s="16"/>
      <c r="D105" s="16"/>
      <c r="E105" s="15">
        <f t="shared" si="13"/>
        <v>0</v>
      </c>
      <c r="F105" s="16">
        <v>7079.09</v>
      </c>
      <c r="G105" s="31"/>
      <c r="H105" s="15">
        <f t="shared" si="12"/>
        <v>7079.09</v>
      </c>
      <c r="I105" s="84"/>
    </row>
    <row r="106" spans="1:9" s="87" customFormat="1" ht="22.5">
      <c r="A106" s="51"/>
      <c r="B106" s="29" t="s">
        <v>149</v>
      </c>
      <c r="C106" s="16"/>
      <c r="D106" s="16"/>
      <c r="E106" s="15">
        <f>SUM(C106:D106)</f>
        <v>0</v>
      </c>
      <c r="F106" s="16">
        <v>267229</v>
      </c>
      <c r="G106" s="16"/>
      <c r="H106" s="15">
        <f>SUM(F106:G106)</f>
        <v>267229</v>
      </c>
      <c r="I106" s="84"/>
    </row>
    <row r="107" spans="1:9" s="2" customFormat="1" ht="24.75" customHeight="1">
      <c r="A107" s="51"/>
      <c r="B107" s="29" t="s">
        <v>2</v>
      </c>
      <c r="C107" s="16">
        <v>1705000</v>
      </c>
      <c r="D107" s="58"/>
      <c r="E107" s="15">
        <f t="shared" si="13"/>
        <v>1705000</v>
      </c>
      <c r="F107" s="16">
        <v>1594327.48</v>
      </c>
      <c r="G107" s="31"/>
      <c r="H107" s="15">
        <f t="shared" si="12"/>
        <v>1594327.48</v>
      </c>
      <c r="I107" s="84">
        <f t="shared" si="11"/>
        <v>0.9350894310850439</v>
      </c>
    </row>
    <row r="108" spans="1:9" s="12" customFormat="1" ht="20.25" customHeight="1">
      <c r="A108" s="25">
        <v>8</v>
      </c>
      <c r="B108" s="27" t="s">
        <v>93</v>
      </c>
      <c r="C108" s="28">
        <f>SUM(C109:C110)</f>
        <v>237864481</v>
      </c>
      <c r="D108" s="28">
        <f>SUM(D109:D110)</f>
        <v>65196649</v>
      </c>
      <c r="E108" s="28">
        <f t="shared" si="13"/>
        <v>303061130</v>
      </c>
      <c r="F108" s="28">
        <f>SUM(F109:F110)</f>
        <v>245136872.71</v>
      </c>
      <c r="G108" s="28">
        <f>SUM(G109:G110)</f>
        <v>67365705.8</v>
      </c>
      <c r="H108" s="28">
        <f t="shared" si="12"/>
        <v>312502578.51</v>
      </c>
      <c r="I108" s="84">
        <f aca="true" t="shared" si="14" ref="I108:I132">H108/E108</f>
        <v>1.0311536108573212</v>
      </c>
    </row>
    <row r="109" spans="1:9" s="2" customFormat="1" ht="13.5" customHeight="1">
      <c r="A109" s="51"/>
      <c r="B109" s="29" t="s">
        <v>94</v>
      </c>
      <c r="C109" s="16">
        <f>202235446+11729035</f>
        <v>213964481</v>
      </c>
      <c r="D109" s="16">
        <f>56807709+3288940</f>
        <v>60096649</v>
      </c>
      <c r="E109" s="15">
        <f t="shared" si="13"/>
        <v>274061130</v>
      </c>
      <c r="F109" s="16">
        <v>224303788</v>
      </c>
      <c r="G109" s="16">
        <v>63006680</v>
      </c>
      <c r="H109" s="15">
        <f t="shared" si="12"/>
        <v>287310468</v>
      </c>
      <c r="I109" s="84">
        <f t="shared" si="14"/>
        <v>1.0483444624197529</v>
      </c>
    </row>
    <row r="110" spans="1:9" s="2" customFormat="1" ht="15" customHeight="1">
      <c r="A110" s="51"/>
      <c r="B110" s="29" t="s">
        <v>18</v>
      </c>
      <c r="C110" s="16">
        <v>23900000</v>
      </c>
      <c r="D110" s="16">
        <v>5100000</v>
      </c>
      <c r="E110" s="15">
        <f t="shared" si="13"/>
        <v>29000000</v>
      </c>
      <c r="F110" s="16">
        <v>20833084.71</v>
      </c>
      <c r="G110" s="16">
        <v>4359025.8</v>
      </c>
      <c r="H110" s="15">
        <f t="shared" si="12"/>
        <v>25192110.51</v>
      </c>
      <c r="I110" s="84">
        <f t="shared" si="14"/>
        <v>0.868693465862069</v>
      </c>
    </row>
    <row r="111" spans="1:9" s="9" customFormat="1" ht="12" customHeight="1">
      <c r="A111" s="91" t="s">
        <v>95</v>
      </c>
      <c r="B111" s="91"/>
      <c r="C111" s="37">
        <f>SUM(C112:C114)</f>
        <v>84101765</v>
      </c>
      <c r="D111" s="37">
        <f>SUM(D112:D114)</f>
        <v>85633899</v>
      </c>
      <c r="E111" s="37">
        <f t="shared" si="13"/>
        <v>169735664</v>
      </c>
      <c r="F111" s="37">
        <f>SUM(F112:F114)</f>
        <v>84101765</v>
      </c>
      <c r="G111" s="37">
        <f>SUM(G112:G114)</f>
        <v>85633899</v>
      </c>
      <c r="H111" s="37">
        <f t="shared" si="12"/>
        <v>169735664</v>
      </c>
      <c r="I111" s="84">
        <f t="shared" si="14"/>
        <v>1</v>
      </c>
    </row>
    <row r="112" spans="1:9" s="1" customFormat="1" ht="14.25" customHeight="1">
      <c r="A112" s="51">
        <v>1</v>
      </c>
      <c r="B112" s="29" t="s">
        <v>96</v>
      </c>
      <c r="C112" s="16">
        <f>78324875+5400295+180370+91800+104425</f>
        <v>84101765</v>
      </c>
      <c r="D112" s="16">
        <f>67364398+9086615+164561+88961</f>
        <v>76704535</v>
      </c>
      <c r="E112" s="15">
        <f t="shared" si="13"/>
        <v>160806300</v>
      </c>
      <c r="F112" s="16">
        <v>84101765</v>
      </c>
      <c r="G112" s="16">
        <v>76704535</v>
      </c>
      <c r="H112" s="15">
        <f t="shared" si="12"/>
        <v>160806300</v>
      </c>
      <c r="I112" s="84">
        <f t="shared" si="14"/>
        <v>1</v>
      </c>
    </row>
    <row r="113" spans="1:9" s="1" customFormat="1" ht="22.5" customHeight="1">
      <c r="A113" s="51">
        <v>2</v>
      </c>
      <c r="B113" s="29" t="s">
        <v>141</v>
      </c>
      <c r="C113" s="16"/>
      <c r="D113" s="16">
        <v>2400000</v>
      </c>
      <c r="E113" s="15">
        <f t="shared" si="13"/>
        <v>2400000</v>
      </c>
      <c r="F113" s="16"/>
      <c r="G113" s="16">
        <v>2400000</v>
      </c>
      <c r="H113" s="15">
        <f t="shared" si="12"/>
        <v>2400000</v>
      </c>
      <c r="I113" s="84">
        <f t="shared" si="14"/>
        <v>1</v>
      </c>
    </row>
    <row r="114" spans="1:9" s="1" customFormat="1" ht="13.5" customHeight="1">
      <c r="A114" s="51">
        <v>3</v>
      </c>
      <c r="B114" s="33" t="s">
        <v>97</v>
      </c>
      <c r="C114" s="16"/>
      <c r="D114" s="16">
        <f>6550148-20784</f>
        <v>6529364</v>
      </c>
      <c r="E114" s="15">
        <f t="shared" si="13"/>
        <v>6529364</v>
      </c>
      <c r="F114" s="16"/>
      <c r="G114" s="16">
        <v>6529364</v>
      </c>
      <c r="H114" s="15">
        <f t="shared" si="12"/>
        <v>6529364</v>
      </c>
      <c r="I114" s="84">
        <f t="shared" si="14"/>
        <v>1</v>
      </c>
    </row>
    <row r="115" spans="1:9" s="38" customFormat="1" ht="29.25" customHeight="1">
      <c r="A115" s="88" t="s">
        <v>98</v>
      </c>
      <c r="B115" s="88"/>
      <c r="C115" s="36">
        <f>C116+C138+C141</f>
        <v>51023836</v>
      </c>
      <c r="D115" s="36">
        <f>D116+D138+D141</f>
        <v>19422690</v>
      </c>
      <c r="E115" s="37">
        <f t="shared" si="13"/>
        <v>70446526</v>
      </c>
      <c r="F115" s="36">
        <f>F116+F138+F141</f>
        <v>47162403.63</v>
      </c>
      <c r="G115" s="36">
        <f>G116+G138+G141</f>
        <v>17332008.310000002</v>
      </c>
      <c r="H115" s="37">
        <f t="shared" si="12"/>
        <v>64494411.940000005</v>
      </c>
      <c r="I115" s="84">
        <f t="shared" si="14"/>
        <v>0.915508763909806</v>
      </c>
    </row>
    <row r="116" spans="1:9" s="40" customFormat="1" ht="12">
      <c r="A116" s="53">
        <v>1</v>
      </c>
      <c r="B116" s="39" t="s">
        <v>99</v>
      </c>
      <c r="C116" s="10">
        <f>SUM(C117:C120,C128:C137)</f>
        <v>44290088</v>
      </c>
      <c r="D116" s="10">
        <f>SUM(D117:D120,D128:D137)</f>
        <v>15579604</v>
      </c>
      <c r="E116" s="28">
        <f t="shared" si="13"/>
        <v>59869692</v>
      </c>
      <c r="F116" s="10">
        <f>SUM(F117:F120,F128:F137)</f>
        <v>40828639.22</v>
      </c>
      <c r="G116" s="10">
        <f>SUM(G117:G120,G128:G137)</f>
        <v>15516386.47</v>
      </c>
      <c r="H116" s="28">
        <f t="shared" si="12"/>
        <v>56345025.69</v>
      </c>
      <c r="I116" s="84">
        <f t="shared" si="14"/>
        <v>0.9411277026446035</v>
      </c>
    </row>
    <row r="117" spans="1:9" s="1" customFormat="1" ht="14.25" customHeight="1">
      <c r="A117" s="51"/>
      <c r="B117" s="41" t="s">
        <v>32</v>
      </c>
      <c r="C117" s="16"/>
      <c r="D117" s="16">
        <f>717200+14242+23748</f>
        <v>755190</v>
      </c>
      <c r="E117" s="15">
        <f t="shared" si="13"/>
        <v>755190</v>
      </c>
      <c r="F117" s="16"/>
      <c r="G117" s="16">
        <v>734933.75</v>
      </c>
      <c r="H117" s="15">
        <f t="shared" si="12"/>
        <v>734933.75</v>
      </c>
      <c r="I117" s="84">
        <f t="shared" si="14"/>
        <v>0.973177279889829</v>
      </c>
    </row>
    <row r="118" spans="1:9" s="2" customFormat="1" ht="21.75" customHeight="1">
      <c r="A118" s="51"/>
      <c r="B118" s="29" t="s">
        <v>158</v>
      </c>
      <c r="C118" s="16"/>
      <c r="D118" s="16">
        <f>10590000+5600+123360+2477+4130+6000</f>
        <v>10731567</v>
      </c>
      <c r="E118" s="15">
        <f t="shared" si="13"/>
        <v>10731567</v>
      </c>
      <c r="F118" s="16"/>
      <c r="G118" s="16">
        <v>10731219.89</v>
      </c>
      <c r="H118" s="15">
        <f t="shared" si="12"/>
        <v>10731219.89</v>
      </c>
      <c r="I118" s="84">
        <f t="shared" si="14"/>
        <v>0.9999676552361831</v>
      </c>
    </row>
    <row r="119" spans="1:9" s="2" customFormat="1" ht="21.75" customHeight="1">
      <c r="A119" s="51"/>
      <c r="B119" s="29" t="s">
        <v>159</v>
      </c>
      <c r="C119" s="16"/>
      <c r="D119" s="16">
        <f>200000+507100-258900</f>
        <v>448200</v>
      </c>
      <c r="E119" s="15">
        <f t="shared" si="13"/>
        <v>448200</v>
      </c>
      <c r="F119" s="16"/>
      <c r="G119" s="16">
        <v>448200</v>
      </c>
      <c r="H119" s="15">
        <f t="shared" si="12"/>
        <v>448200</v>
      </c>
      <c r="I119" s="84">
        <f t="shared" si="14"/>
        <v>1</v>
      </c>
    </row>
    <row r="120" spans="1:9" s="2" customFormat="1" ht="12" customHeight="1">
      <c r="A120" s="51"/>
      <c r="B120" s="29" t="s">
        <v>100</v>
      </c>
      <c r="C120" s="16">
        <f>SUM(C121:C127)</f>
        <v>42902620</v>
      </c>
      <c r="D120" s="16">
        <f>SUM(D121:D127)</f>
        <v>680900</v>
      </c>
      <c r="E120" s="15">
        <f t="shared" si="13"/>
        <v>43583520</v>
      </c>
      <c r="F120" s="16">
        <f>SUM(F121:F127)</f>
        <v>39441252.31</v>
      </c>
      <c r="G120" s="16">
        <f>SUM(G121:G127)</f>
        <v>678033.0700000001</v>
      </c>
      <c r="H120" s="15">
        <f t="shared" si="12"/>
        <v>40119285.38</v>
      </c>
      <c r="I120" s="84">
        <f t="shared" si="14"/>
        <v>0.9205150336641006</v>
      </c>
    </row>
    <row r="121" spans="1:9" s="7" customFormat="1" ht="11.25">
      <c r="A121" s="48"/>
      <c r="B121" s="43" t="s">
        <v>101</v>
      </c>
      <c r="C121" s="22">
        <f>1008000-9000+325000+153200</f>
        <v>1477200</v>
      </c>
      <c r="D121" s="22">
        <f>335000+68900</f>
        <v>403900</v>
      </c>
      <c r="E121" s="21">
        <f t="shared" si="13"/>
        <v>1881100</v>
      </c>
      <c r="F121" s="22">
        <v>1398395.84</v>
      </c>
      <c r="G121" s="22">
        <v>401285.39</v>
      </c>
      <c r="H121" s="21">
        <f t="shared" si="12"/>
        <v>1799681.23</v>
      </c>
      <c r="I121" s="84">
        <f t="shared" si="14"/>
        <v>0.956717468502472</v>
      </c>
    </row>
    <row r="122" spans="1:9" s="7" customFormat="1" ht="11.25">
      <c r="A122" s="48"/>
      <c r="B122" s="43" t="s">
        <v>102</v>
      </c>
      <c r="C122" s="22">
        <f>587600-129020</f>
        <v>458580</v>
      </c>
      <c r="D122" s="22"/>
      <c r="E122" s="21">
        <f t="shared" si="13"/>
        <v>458580</v>
      </c>
      <c r="F122" s="22">
        <v>446663.34</v>
      </c>
      <c r="G122" s="22"/>
      <c r="H122" s="21">
        <f t="shared" si="12"/>
        <v>446663.34</v>
      </c>
      <c r="I122" s="84">
        <f t="shared" si="14"/>
        <v>0.9740139997383227</v>
      </c>
    </row>
    <row r="123" spans="1:9" s="7" customFormat="1" ht="11.25">
      <c r="A123" s="48"/>
      <c r="B123" s="43" t="s">
        <v>103</v>
      </c>
      <c r="C123" s="22">
        <f>5450000-217500-2287-493116</f>
        <v>4737097</v>
      </c>
      <c r="D123" s="22"/>
      <c r="E123" s="21">
        <f t="shared" si="13"/>
        <v>4737097</v>
      </c>
      <c r="F123" s="22">
        <v>4718889.94</v>
      </c>
      <c r="G123" s="22"/>
      <c r="H123" s="21">
        <f t="shared" si="12"/>
        <v>4718889.94</v>
      </c>
      <c r="I123" s="84">
        <f t="shared" si="14"/>
        <v>0.9961564941566534</v>
      </c>
    </row>
    <row r="124" spans="1:9" s="7" customFormat="1" ht="16.5" customHeight="1">
      <c r="A124" s="48"/>
      <c r="B124" s="43" t="s">
        <v>37</v>
      </c>
      <c r="C124" s="22">
        <f>3787+136</f>
        <v>3923</v>
      </c>
      <c r="D124" s="22"/>
      <c r="E124" s="21">
        <f t="shared" si="13"/>
        <v>3923</v>
      </c>
      <c r="F124" s="22">
        <v>3786.54</v>
      </c>
      <c r="G124" s="22"/>
      <c r="H124" s="21">
        <f t="shared" si="12"/>
        <v>3786.54</v>
      </c>
      <c r="I124" s="84">
        <f t="shared" si="14"/>
        <v>0.9652153963803212</v>
      </c>
    </row>
    <row r="125" spans="1:9" s="7" customFormat="1" ht="11.25">
      <c r="A125" s="48"/>
      <c r="B125" s="43" t="s">
        <v>104</v>
      </c>
      <c r="C125" s="22">
        <f>34853800+543300+90310+48000+158500</f>
        <v>35693910</v>
      </c>
      <c r="D125" s="22"/>
      <c r="E125" s="21">
        <f t="shared" si="13"/>
        <v>35693910</v>
      </c>
      <c r="F125" s="22">
        <f>32296539.95+47413.2</f>
        <v>32343953.15</v>
      </c>
      <c r="G125" s="22"/>
      <c r="H125" s="21">
        <f t="shared" si="12"/>
        <v>32343953.15</v>
      </c>
      <c r="I125" s="84">
        <f t="shared" si="14"/>
        <v>0.9061476635650171</v>
      </c>
    </row>
    <row r="126" spans="1:9" s="7" customFormat="1" ht="11.25">
      <c r="A126" s="48"/>
      <c r="B126" s="43" t="s">
        <v>105</v>
      </c>
      <c r="C126" s="22">
        <f>515400+5600+10910</f>
        <v>531910</v>
      </c>
      <c r="D126" s="22"/>
      <c r="E126" s="21">
        <f t="shared" si="13"/>
        <v>531910</v>
      </c>
      <c r="F126" s="22">
        <v>529563.5</v>
      </c>
      <c r="G126" s="22"/>
      <c r="H126" s="21">
        <f t="shared" si="12"/>
        <v>529563.5</v>
      </c>
      <c r="I126" s="84">
        <f t="shared" si="14"/>
        <v>0.9955885394145626</v>
      </c>
    </row>
    <row r="127" spans="1:9" s="7" customFormat="1" ht="12.75" customHeight="1">
      <c r="A127" s="48"/>
      <c r="B127" s="43" t="s">
        <v>106</v>
      </c>
      <c r="C127" s="22"/>
      <c r="D127" s="22">
        <v>277000</v>
      </c>
      <c r="E127" s="21">
        <f t="shared" si="13"/>
        <v>277000</v>
      </c>
      <c r="F127" s="22"/>
      <c r="G127" s="22">
        <v>276747.68</v>
      </c>
      <c r="H127" s="21">
        <f t="shared" si="12"/>
        <v>276747.68</v>
      </c>
      <c r="I127" s="84">
        <f t="shared" si="14"/>
        <v>0.9990890974729242</v>
      </c>
    </row>
    <row r="128" spans="1:9" s="2" customFormat="1" ht="12" customHeight="1">
      <c r="A128" s="51"/>
      <c r="B128" s="29" t="s">
        <v>107</v>
      </c>
      <c r="C128" s="16"/>
      <c r="D128" s="16">
        <f>2376470+250000-1261000</f>
        <v>1365470</v>
      </c>
      <c r="E128" s="15">
        <f t="shared" si="13"/>
        <v>1365470</v>
      </c>
      <c r="F128" s="16"/>
      <c r="G128" s="16">
        <v>1342354.57</v>
      </c>
      <c r="H128" s="15">
        <f t="shared" si="12"/>
        <v>1342354.57</v>
      </c>
      <c r="I128" s="84">
        <f t="shared" si="14"/>
        <v>0.983071447926355</v>
      </c>
    </row>
    <row r="129" spans="1:9" s="2" customFormat="1" ht="21" customHeight="1">
      <c r="A129" s="51"/>
      <c r="B129" s="29" t="s">
        <v>127</v>
      </c>
      <c r="C129" s="16">
        <v>28700</v>
      </c>
      <c r="D129" s="16"/>
      <c r="E129" s="15">
        <f t="shared" si="13"/>
        <v>28700</v>
      </c>
      <c r="F129" s="16">
        <v>28687.05</v>
      </c>
      <c r="G129" s="16"/>
      <c r="H129" s="15">
        <f t="shared" si="12"/>
        <v>28687.05</v>
      </c>
      <c r="I129" s="84">
        <f t="shared" si="14"/>
        <v>0.9995487804878048</v>
      </c>
    </row>
    <row r="130" spans="1:9" s="2" customFormat="1" ht="35.25" customHeight="1">
      <c r="A130" s="51"/>
      <c r="B130" s="29" t="s">
        <v>132</v>
      </c>
      <c r="C130" s="16">
        <f>855+2023</f>
        <v>2878</v>
      </c>
      <c r="D130" s="16"/>
      <c r="E130" s="15">
        <f t="shared" si="13"/>
        <v>2878</v>
      </c>
      <c r="F130" s="16">
        <v>2823.32</v>
      </c>
      <c r="G130" s="16"/>
      <c r="H130" s="15">
        <f t="shared" si="12"/>
        <v>2823.32</v>
      </c>
      <c r="I130" s="84">
        <f t="shared" si="14"/>
        <v>0.9810006949270327</v>
      </c>
    </row>
    <row r="131" spans="1:9" s="2" customFormat="1" ht="22.5" customHeight="1">
      <c r="A131" s="51"/>
      <c r="B131" s="29" t="s">
        <v>130</v>
      </c>
      <c r="C131" s="16">
        <v>1319000</v>
      </c>
      <c r="D131" s="16">
        <f>542800+90000</f>
        <v>632800</v>
      </c>
      <c r="E131" s="15">
        <f aca="true" t="shared" si="15" ref="E131:E150">SUM(C131:D131)</f>
        <v>1951800</v>
      </c>
      <c r="F131" s="16">
        <v>1319000</v>
      </c>
      <c r="G131" s="16">
        <v>632800</v>
      </c>
      <c r="H131" s="15">
        <f t="shared" si="12"/>
        <v>1951800</v>
      </c>
      <c r="I131" s="84">
        <f t="shared" si="14"/>
        <v>1</v>
      </c>
    </row>
    <row r="132" spans="1:9" s="2" customFormat="1" ht="21.75" customHeight="1">
      <c r="A132" s="51"/>
      <c r="B132" s="34" t="s">
        <v>38</v>
      </c>
      <c r="C132" s="16"/>
      <c r="D132" s="16">
        <v>450000</v>
      </c>
      <c r="E132" s="15">
        <f t="shared" si="15"/>
        <v>450000</v>
      </c>
      <c r="F132" s="16"/>
      <c r="G132" s="16">
        <v>449957.9</v>
      </c>
      <c r="H132" s="15">
        <f t="shared" si="12"/>
        <v>449957.9</v>
      </c>
      <c r="I132" s="84">
        <f t="shared" si="14"/>
        <v>0.9999064444444445</v>
      </c>
    </row>
    <row r="133" spans="1:9" s="35" customFormat="1" ht="12" customHeight="1">
      <c r="A133" s="51"/>
      <c r="B133" s="29" t="s">
        <v>108</v>
      </c>
      <c r="C133" s="16">
        <f>38510-1620</f>
        <v>36890</v>
      </c>
      <c r="D133" s="16"/>
      <c r="E133" s="15">
        <f t="shared" si="15"/>
        <v>36890</v>
      </c>
      <c r="F133" s="16">
        <v>36876.54</v>
      </c>
      <c r="G133" s="16"/>
      <c r="H133" s="15">
        <f t="shared" si="12"/>
        <v>36876.54</v>
      </c>
      <c r="I133" s="84">
        <f aca="true" t="shared" si="16" ref="I133:I150">H133/E133</f>
        <v>0.9996351314719436</v>
      </c>
    </row>
    <row r="134" spans="1:9" s="2" customFormat="1" ht="11.25" customHeight="1">
      <c r="A134" s="54"/>
      <c r="B134" s="42" t="s">
        <v>109</v>
      </c>
      <c r="C134" s="16"/>
      <c r="D134" s="16">
        <v>175000</v>
      </c>
      <c r="E134" s="15">
        <f t="shared" si="15"/>
        <v>175000</v>
      </c>
      <c r="F134" s="16"/>
      <c r="G134" s="16">
        <v>175000</v>
      </c>
      <c r="H134" s="15">
        <f t="shared" si="12"/>
        <v>175000</v>
      </c>
      <c r="I134" s="84">
        <f t="shared" si="16"/>
        <v>1</v>
      </c>
    </row>
    <row r="135" spans="1:9" s="2" customFormat="1" ht="12" customHeight="1">
      <c r="A135" s="54"/>
      <c r="B135" s="42" t="s">
        <v>110</v>
      </c>
      <c r="C135" s="16"/>
      <c r="D135" s="16">
        <v>67000</v>
      </c>
      <c r="E135" s="15">
        <f t="shared" si="15"/>
        <v>67000</v>
      </c>
      <c r="F135" s="16"/>
      <c r="G135" s="16">
        <v>52250</v>
      </c>
      <c r="H135" s="15">
        <f t="shared" si="12"/>
        <v>52250</v>
      </c>
      <c r="I135" s="84">
        <f t="shared" si="16"/>
        <v>0.7798507462686567</v>
      </c>
    </row>
    <row r="136" spans="1:9" s="2" customFormat="1" ht="14.25" customHeight="1">
      <c r="A136" s="54"/>
      <c r="B136" s="42" t="s">
        <v>111</v>
      </c>
      <c r="C136" s="16"/>
      <c r="D136" s="16">
        <f>132000+13547+35630</f>
        <v>181177</v>
      </c>
      <c r="E136" s="15">
        <f t="shared" si="15"/>
        <v>181177</v>
      </c>
      <c r="F136" s="16"/>
      <c r="G136" s="16">
        <v>179459.36</v>
      </c>
      <c r="H136" s="15">
        <f t="shared" si="12"/>
        <v>179459.36</v>
      </c>
      <c r="I136" s="84">
        <f t="shared" si="16"/>
        <v>0.9905195471831413</v>
      </c>
    </row>
    <row r="137" spans="1:9" s="32" customFormat="1" ht="12" customHeight="1">
      <c r="A137" s="52"/>
      <c r="B137" s="34" t="s">
        <v>112</v>
      </c>
      <c r="C137" s="16"/>
      <c r="D137" s="16">
        <f>99600-7300</f>
        <v>92300</v>
      </c>
      <c r="E137" s="15">
        <f t="shared" si="15"/>
        <v>92300</v>
      </c>
      <c r="F137" s="16"/>
      <c r="G137" s="16">
        <v>92177.93</v>
      </c>
      <c r="H137" s="15">
        <f t="shared" si="12"/>
        <v>92177.93</v>
      </c>
      <c r="I137" s="84">
        <f t="shared" si="16"/>
        <v>0.9986774647887323</v>
      </c>
    </row>
    <row r="138" spans="1:9" s="32" customFormat="1" ht="36" customHeight="1">
      <c r="A138" s="25">
        <v>2</v>
      </c>
      <c r="B138" s="27" t="s">
        <v>113</v>
      </c>
      <c r="C138" s="44">
        <f>SUM(C139:C140)</f>
        <v>27500</v>
      </c>
      <c r="D138" s="44">
        <f>SUM(D139:D140)</f>
        <v>2021500</v>
      </c>
      <c r="E138" s="28">
        <f t="shared" si="15"/>
        <v>2049000</v>
      </c>
      <c r="F138" s="44">
        <f>SUM(F139:F140)</f>
        <v>27488.88</v>
      </c>
      <c r="G138" s="44">
        <f>SUM(G139:G140)</f>
        <v>0</v>
      </c>
      <c r="H138" s="28">
        <f t="shared" si="12"/>
        <v>27488.88</v>
      </c>
      <c r="I138" s="84">
        <f t="shared" si="16"/>
        <v>0.01341575402635432</v>
      </c>
    </row>
    <row r="139" spans="1:9" s="2" customFormat="1" ht="12.75" customHeight="1">
      <c r="A139" s="51"/>
      <c r="B139" s="34" t="s">
        <v>114</v>
      </c>
      <c r="C139" s="16">
        <v>27500</v>
      </c>
      <c r="D139" s="16"/>
      <c r="E139" s="15">
        <f t="shared" si="15"/>
        <v>27500</v>
      </c>
      <c r="F139" s="16">
        <v>27488.88</v>
      </c>
      <c r="G139" s="16"/>
      <c r="H139" s="15">
        <f t="shared" si="12"/>
        <v>27488.88</v>
      </c>
      <c r="I139" s="84">
        <f t="shared" si="16"/>
        <v>0.9995956363636364</v>
      </c>
    </row>
    <row r="140" spans="1:9" s="7" customFormat="1" ht="21.75" customHeight="1">
      <c r="A140" s="51"/>
      <c r="B140" s="34" t="s">
        <v>11</v>
      </c>
      <c r="C140" s="16"/>
      <c r="D140" s="16">
        <f>231500+1790000</f>
        <v>2021500</v>
      </c>
      <c r="E140" s="15">
        <f t="shared" si="15"/>
        <v>2021500</v>
      </c>
      <c r="F140" s="16"/>
      <c r="G140" s="16"/>
      <c r="H140" s="15">
        <f t="shared" si="12"/>
        <v>0</v>
      </c>
      <c r="I140" s="84">
        <f t="shared" si="16"/>
        <v>0</v>
      </c>
    </row>
    <row r="141" spans="1:9" s="1" customFormat="1" ht="27.75" customHeight="1">
      <c r="A141" s="25">
        <v>3</v>
      </c>
      <c r="B141" s="27" t="s">
        <v>115</v>
      </c>
      <c r="C141" s="28">
        <f>SUM(C142:C152)</f>
        <v>6706248</v>
      </c>
      <c r="D141" s="28">
        <f>SUM(D142:D152)</f>
        <v>1821586</v>
      </c>
      <c r="E141" s="28">
        <f t="shared" si="15"/>
        <v>8527834</v>
      </c>
      <c r="F141" s="28">
        <f>SUM(F142:F152)</f>
        <v>6306275.529999999</v>
      </c>
      <c r="G141" s="28">
        <f>SUM(G142:G152)</f>
        <v>1815621.8399999999</v>
      </c>
      <c r="H141" s="28">
        <f t="shared" si="12"/>
        <v>8121897.369999999</v>
      </c>
      <c r="I141" s="84">
        <f t="shared" si="16"/>
        <v>0.9523986243165614</v>
      </c>
    </row>
    <row r="142" spans="1:9" s="1" customFormat="1" ht="12" customHeight="1">
      <c r="A142" s="51"/>
      <c r="B142" s="42" t="s">
        <v>116</v>
      </c>
      <c r="C142" s="16">
        <f>310404+3696+260369</f>
        <v>574469</v>
      </c>
      <c r="D142" s="15"/>
      <c r="E142" s="15">
        <f t="shared" si="15"/>
        <v>574469</v>
      </c>
      <c r="F142" s="16">
        <v>547854.51</v>
      </c>
      <c r="G142" s="15"/>
      <c r="H142" s="15">
        <f aca="true" t="shared" si="17" ref="H142:H155">SUM(F142:G142)</f>
        <v>547854.51</v>
      </c>
      <c r="I142" s="84">
        <f t="shared" si="16"/>
        <v>0.9536711467459515</v>
      </c>
    </row>
    <row r="143" spans="1:9" s="1" customFormat="1" ht="15" customHeight="1">
      <c r="A143" s="51"/>
      <c r="B143" s="13" t="s">
        <v>17</v>
      </c>
      <c r="C143" s="16">
        <f>125001+83480+185081+3261</f>
        <v>396823</v>
      </c>
      <c r="D143" s="16">
        <v>2400</v>
      </c>
      <c r="E143" s="15">
        <f t="shared" si="15"/>
        <v>399223</v>
      </c>
      <c r="F143" s="16">
        <v>373481.46</v>
      </c>
      <c r="G143" s="16">
        <v>2274.5</v>
      </c>
      <c r="H143" s="15">
        <f t="shared" si="17"/>
        <v>375755.96</v>
      </c>
      <c r="I143" s="84">
        <f t="shared" si="16"/>
        <v>0.9412182163853285</v>
      </c>
    </row>
    <row r="144" spans="1:9" s="1" customFormat="1" ht="33.75" customHeight="1">
      <c r="A144" s="51"/>
      <c r="B144" s="13" t="s">
        <v>28</v>
      </c>
      <c r="C144" s="16"/>
      <c r="D144" s="16">
        <v>33674</v>
      </c>
      <c r="E144" s="15">
        <f t="shared" si="15"/>
        <v>33674</v>
      </c>
      <c r="F144" s="16"/>
      <c r="G144" s="16">
        <v>33640.82</v>
      </c>
      <c r="H144" s="15">
        <f t="shared" si="17"/>
        <v>33640.82</v>
      </c>
      <c r="I144" s="84">
        <f t="shared" si="16"/>
        <v>0.9990146700718655</v>
      </c>
    </row>
    <row r="145" spans="1:9" s="1" customFormat="1" ht="45" customHeight="1">
      <c r="A145" s="51"/>
      <c r="B145" s="13" t="s">
        <v>148</v>
      </c>
      <c r="C145" s="16"/>
      <c r="D145" s="16">
        <f>41253+882</f>
        <v>42135</v>
      </c>
      <c r="E145" s="15">
        <f t="shared" si="15"/>
        <v>42135</v>
      </c>
      <c r="F145" s="16"/>
      <c r="G145" s="16">
        <v>41184.46</v>
      </c>
      <c r="H145" s="15">
        <f t="shared" si="17"/>
        <v>41184.46</v>
      </c>
      <c r="I145" s="84">
        <f t="shared" si="16"/>
        <v>0.977440607570903</v>
      </c>
    </row>
    <row r="146" spans="1:9" s="1" customFormat="1" ht="16.5" customHeight="1">
      <c r="A146" s="51"/>
      <c r="B146" s="13" t="s">
        <v>24</v>
      </c>
      <c r="C146" s="16"/>
      <c r="D146" s="16">
        <v>24800</v>
      </c>
      <c r="E146" s="15">
        <f t="shared" si="15"/>
        <v>24800</v>
      </c>
      <c r="F146" s="16"/>
      <c r="G146" s="16">
        <v>24732.2</v>
      </c>
      <c r="H146" s="15">
        <f t="shared" si="17"/>
        <v>24732.2</v>
      </c>
      <c r="I146" s="84">
        <f t="shared" si="16"/>
        <v>0.9972661290322581</v>
      </c>
    </row>
    <row r="147" spans="1:9" s="1" customFormat="1" ht="11.25" customHeight="1">
      <c r="A147" s="51"/>
      <c r="B147" s="13" t="s">
        <v>27</v>
      </c>
      <c r="C147" s="16"/>
      <c r="D147" s="16">
        <f>45861+43632</f>
        <v>89493</v>
      </c>
      <c r="E147" s="15">
        <f t="shared" si="15"/>
        <v>89493</v>
      </c>
      <c r="F147" s="16"/>
      <c r="G147" s="16">
        <v>89208.18</v>
      </c>
      <c r="H147" s="15">
        <f t="shared" si="17"/>
        <v>89208.18</v>
      </c>
      <c r="I147" s="84">
        <f t="shared" si="16"/>
        <v>0.9968174047132177</v>
      </c>
    </row>
    <row r="148" spans="1:9" s="1" customFormat="1" ht="36.75" customHeight="1">
      <c r="A148" s="51"/>
      <c r="B148" s="13" t="s">
        <v>29</v>
      </c>
      <c r="C148" s="16">
        <v>333000</v>
      </c>
      <c r="D148" s="16"/>
      <c r="E148" s="15">
        <f t="shared" si="15"/>
        <v>333000</v>
      </c>
      <c r="F148" s="16">
        <v>333000</v>
      </c>
      <c r="G148" s="16"/>
      <c r="H148" s="15">
        <f t="shared" si="17"/>
        <v>333000</v>
      </c>
      <c r="I148" s="84">
        <f t="shared" si="16"/>
        <v>1</v>
      </c>
    </row>
    <row r="149" spans="1:9" s="1" customFormat="1" ht="32.25" customHeight="1">
      <c r="A149" s="51"/>
      <c r="B149" s="13" t="s">
        <v>34</v>
      </c>
      <c r="C149" s="16">
        <f>1848350-397883</f>
        <v>1450467</v>
      </c>
      <c r="D149" s="16"/>
      <c r="E149" s="15">
        <f t="shared" si="15"/>
        <v>1450467</v>
      </c>
      <c r="F149" s="16">
        <v>1450467.41</v>
      </c>
      <c r="G149" s="16"/>
      <c r="H149" s="15">
        <f t="shared" si="17"/>
        <v>1450467.41</v>
      </c>
      <c r="I149" s="84">
        <f t="shared" si="16"/>
        <v>1.0000002826675822</v>
      </c>
    </row>
    <row r="150" spans="1:9" s="1" customFormat="1" ht="21" customHeight="1">
      <c r="A150" s="51"/>
      <c r="B150" s="34" t="s">
        <v>30</v>
      </c>
      <c r="C150" s="16">
        <v>14749</v>
      </c>
      <c r="D150" s="16"/>
      <c r="E150" s="15">
        <f t="shared" si="15"/>
        <v>14749</v>
      </c>
      <c r="F150" s="16">
        <v>14400.01</v>
      </c>
      <c r="G150" s="16"/>
      <c r="H150" s="15">
        <f t="shared" si="17"/>
        <v>14400.01</v>
      </c>
      <c r="I150" s="84">
        <f t="shared" si="16"/>
        <v>0.9763380568174114</v>
      </c>
    </row>
    <row r="151" spans="1:9" s="1" customFormat="1" ht="22.5" customHeight="1">
      <c r="A151" s="51"/>
      <c r="B151" s="42" t="s">
        <v>133</v>
      </c>
      <c r="C151" s="16">
        <v>611940</v>
      </c>
      <c r="D151" s="15"/>
      <c r="E151" s="15">
        <f aca="true" t="shared" si="18" ref="E151:E159">SUM(C151:D151)</f>
        <v>611940</v>
      </c>
      <c r="F151" s="16">
        <v>409383.25</v>
      </c>
      <c r="G151" s="15"/>
      <c r="H151" s="15">
        <f t="shared" si="17"/>
        <v>409383.25</v>
      </c>
      <c r="I151" s="84">
        <f aca="true" t="shared" si="19" ref="I151:I159">H151/E151</f>
        <v>0.668992466581691</v>
      </c>
    </row>
    <row r="152" spans="1:9" s="2" customFormat="1" ht="11.25" customHeight="1">
      <c r="A152" s="51"/>
      <c r="B152" s="42" t="s">
        <v>117</v>
      </c>
      <c r="C152" s="16">
        <f>SUM(C153:C159)</f>
        <v>3324800</v>
      </c>
      <c r="D152" s="16">
        <f>SUM(D153:D159)</f>
        <v>1629084</v>
      </c>
      <c r="E152" s="15">
        <f t="shared" si="18"/>
        <v>4953884</v>
      </c>
      <c r="F152" s="16">
        <f>SUM(F153:F159)</f>
        <v>3177688.89</v>
      </c>
      <c r="G152" s="16">
        <f>SUM(G153:G159)</f>
        <v>1624581.68</v>
      </c>
      <c r="H152" s="15">
        <f t="shared" si="17"/>
        <v>4802270.57</v>
      </c>
      <c r="I152" s="84">
        <f t="shared" si="19"/>
        <v>0.9693950383174091</v>
      </c>
    </row>
    <row r="153" spans="1:9" s="23" customFormat="1" ht="12.75" customHeight="1">
      <c r="A153" s="47"/>
      <c r="B153" s="59" t="s">
        <v>142</v>
      </c>
      <c r="C153" s="22">
        <f>580000+154000+154000+77000+88000</f>
        <v>1053000</v>
      </c>
      <c r="D153" s="22"/>
      <c r="E153" s="21">
        <f t="shared" si="18"/>
        <v>1053000</v>
      </c>
      <c r="F153" s="22">
        <v>1050207.86</v>
      </c>
      <c r="G153" s="22"/>
      <c r="H153" s="21">
        <f t="shared" si="17"/>
        <v>1050207.86</v>
      </c>
      <c r="I153" s="84">
        <f t="shared" si="19"/>
        <v>0.9973483950617285</v>
      </c>
    </row>
    <row r="154" spans="1:9" s="23" customFormat="1" ht="19.5" customHeight="1">
      <c r="A154" s="47"/>
      <c r="B154" s="59" t="s">
        <v>147</v>
      </c>
      <c r="C154" s="22"/>
      <c r="D154" s="22">
        <v>29360</v>
      </c>
      <c r="E154" s="21">
        <f t="shared" si="18"/>
        <v>29360</v>
      </c>
      <c r="F154" s="22"/>
      <c r="G154" s="22">
        <v>29360</v>
      </c>
      <c r="H154" s="21">
        <f t="shared" si="17"/>
        <v>29360</v>
      </c>
      <c r="I154" s="84">
        <f t="shared" si="19"/>
        <v>1</v>
      </c>
    </row>
    <row r="155" spans="1:9" s="32" customFormat="1" ht="11.25">
      <c r="A155" s="52"/>
      <c r="B155" s="59" t="s">
        <v>118</v>
      </c>
      <c r="C155" s="22"/>
      <c r="D155" s="22">
        <f>917400-4740-20300+139920+124000-4350+124492+25902</f>
        <v>1302324</v>
      </c>
      <c r="E155" s="21">
        <f t="shared" si="18"/>
        <v>1302324</v>
      </c>
      <c r="F155" s="22"/>
      <c r="G155" s="22">
        <v>1302324</v>
      </c>
      <c r="H155" s="21">
        <f t="shared" si="17"/>
        <v>1302324</v>
      </c>
      <c r="I155" s="84">
        <f t="shared" si="19"/>
        <v>1</v>
      </c>
    </row>
    <row r="156" spans="1:9" s="32" customFormat="1" ht="15" customHeight="1">
      <c r="A156" s="52"/>
      <c r="B156" s="59" t="s">
        <v>119</v>
      </c>
      <c r="C156" s="22"/>
      <c r="D156" s="22">
        <f>166800+5400-20300</f>
        <v>151900</v>
      </c>
      <c r="E156" s="21">
        <f t="shared" si="18"/>
        <v>151900</v>
      </c>
      <c r="F156" s="61"/>
      <c r="G156" s="22">
        <v>148297.71</v>
      </c>
      <c r="H156" s="21">
        <f>SUM(G156:G156)</f>
        <v>148297.71</v>
      </c>
      <c r="I156" s="84">
        <f t="shared" si="19"/>
        <v>0.9762851217906517</v>
      </c>
    </row>
    <row r="157" spans="1:9" s="32" customFormat="1" ht="15" customHeight="1">
      <c r="A157" s="52"/>
      <c r="B157" s="59" t="s">
        <v>87</v>
      </c>
      <c r="C157" s="22"/>
      <c r="D157" s="22">
        <f>1500+7500+24000+21000+1500+10000+50000+30000</f>
        <v>145500</v>
      </c>
      <c r="E157" s="21">
        <f t="shared" si="18"/>
        <v>145500</v>
      </c>
      <c r="F157" s="22"/>
      <c r="G157" s="22">
        <f>123880.67+20719.3</f>
        <v>144599.97</v>
      </c>
      <c r="H157" s="21">
        <f>SUM(F157:G157)</f>
        <v>144599.97</v>
      </c>
      <c r="I157" s="84">
        <f t="shared" si="19"/>
        <v>0.9938142268041237</v>
      </c>
    </row>
    <row r="158" spans="1:9" s="7" customFormat="1" ht="11.25">
      <c r="A158" s="48"/>
      <c r="B158" s="60" t="s">
        <v>120</v>
      </c>
      <c r="C158" s="22">
        <f>428000-49600</f>
        <v>378400</v>
      </c>
      <c r="D158" s="22"/>
      <c r="E158" s="21">
        <f t="shared" si="18"/>
        <v>378400</v>
      </c>
      <c r="F158" s="22">
        <v>234081.03</v>
      </c>
      <c r="G158" s="22"/>
      <c r="H158" s="21">
        <f>SUM(F158:G158)</f>
        <v>234081.03</v>
      </c>
      <c r="I158" s="84">
        <f t="shared" si="19"/>
        <v>0.6186073731501057</v>
      </c>
    </row>
    <row r="159" spans="1:9" s="7" customFormat="1" ht="11.25">
      <c r="A159" s="48"/>
      <c r="B159" s="60" t="s">
        <v>121</v>
      </c>
      <c r="C159" s="22">
        <f>1511600-30000+124650+69582+217568</f>
        <v>1893400</v>
      </c>
      <c r="D159" s="22"/>
      <c r="E159" s="21">
        <f t="shared" si="18"/>
        <v>1893400</v>
      </c>
      <c r="F159" s="22">
        <v>1893400</v>
      </c>
      <c r="G159" s="22"/>
      <c r="H159" s="21">
        <f>SUM(F159:G159)</f>
        <v>1893400</v>
      </c>
      <c r="I159" s="84">
        <f t="shared" si="19"/>
        <v>1</v>
      </c>
    </row>
    <row r="163" spans="4:5" ht="11.25">
      <c r="D163" s="79"/>
      <c r="E163" s="68" t="s">
        <v>3</v>
      </c>
    </row>
    <row r="167" ht="11.25">
      <c r="H167" s="86"/>
    </row>
  </sheetData>
  <mergeCells count="10">
    <mergeCell ref="A1:I1"/>
    <mergeCell ref="A2:A3"/>
    <mergeCell ref="B2:B3"/>
    <mergeCell ref="C2:E2"/>
    <mergeCell ref="I2:I3"/>
    <mergeCell ref="F2:H2"/>
    <mergeCell ref="A115:B115"/>
    <mergeCell ref="A5:B5"/>
    <mergeCell ref="A6:B6"/>
    <mergeCell ref="A111:B111"/>
  </mergeCells>
  <printOptions/>
  <pageMargins left="0.41" right="0.31" top="0.55" bottom="0.47" header="0.5" footer="0.4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</dc:creator>
  <cp:keywords/>
  <dc:description/>
  <cp:lastModifiedBy>kbaza</cp:lastModifiedBy>
  <cp:lastPrinted>2009-03-10T07:36:45Z</cp:lastPrinted>
  <dcterms:created xsi:type="dcterms:W3CDTF">2005-11-15T08:37:02Z</dcterms:created>
  <dcterms:modified xsi:type="dcterms:W3CDTF">2009-03-10T07:36:49Z</dcterms:modified>
  <cp:category/>
  <cp:version/>
  <cp:contentType/>
  <cp:contentStatus/>
</cp:coreProperties>
</file>