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20" windowHeight="6465" tabRatio="606" activeTab="7"/>
  </bookViews>
  <sheets>
    <sheet name="ZAŁ. 2" sheetId="1" r:id="rId1"/>
    <sheet name="ZAŁ. 3" sheetId="2" r:id="rId2"/>
    <sheet name="ZAŁ. 4" sheetId="3" r:id="rId3"/>
    <sheet name="ZAŁ. 5" sheetId="4" r:id="rId4"/>
    <sheet name="ZAŁ. 6" sheetId="5" r:id="rId5"/>
    <sheet name="ZAŁ. 7" sheetId="6" r:id="rId6"/>
    <sheet name="ZAŁ. 8" sheetId="7" r:id="rId7"/>
    <sheet name="ZAŁ.9" sheetId="8" r:id="rId8"/>
  </sheets>
  <externalReferences>
    <externalReference r:id="rId11"/>
  </externalReferences>
  <definedNames>
    <definedName name="_xlnm.Print_Titles" localSheetId="4">'ZAŁ. 6'!$A:$A,'ZAŁ. 6'!$4:$5</definedName>
    <definedName name="_xlnm.Print_Titles" localSheetId="5">'ZAŁ. 7'!$A:$A,'ZAŁ. 7'!$4:$4</definedName>
    <definedName name="_xlnm.Print_Titles" localSheetId="6">'ZAŁ. 8'!$3:$5</definedName>
  </definedNames>
  <calcPr fullCalcOnLoad="1" fullPrecision="0"/>
</workbook>
</file>

<file path=xl/sharedStrings.xml><?xml version="1.0" encoding="utf-8"?>
<sst xmlns="http://schemas.openxmlformats.org/spreadsheetml/2006/main" count="575" uniqueCount="306">
  <si>
    <t>Nazwa placówki</t>
  </si>
  <si>
    <t>ilość ucz.</t>
  </si>
  <si>
    <t>koszt ucznia</t>
  </si>
  <si>
    <t>III LO</t>
  </si>
  <si>
    <t>IV LO</t>
  </si>
  <si>
    <t>VI LO</t>
  </si>
  <si>
    <t>VIII LO</t>
  </si>
  <si>
    <t>XIII LO</t>
  </si>
  <si>
    <t>Placówka</t>
  </si>
  <si>
    <t>plan</t>
  </si>
  <si>
    <t>obsługa</t>
  </si>
  <si>
    <t>razem</t>
  </si>
  <si>
    <t>I   LO</t>
  </si>
  <si>
    <t>II  LO</t>
  </si>
  <si>
    <t>V  LO</t>
  </si>
  <si>
    <t>VII LO</t>
  </si>
  <si>
    <t>IX  LO</t>
  </si>
  <si>
    <t>X   LO</t>
  </si>
  <si>
    <t>XII  LO</t>
  </si>
  <si>
    <t>XIV LO</t>
  </si>
  <si>
    <t>Zesp.Sz.Ad.Ekonomicznych</t>
  </si>
  <si>
    <t>Realizacja programu</t>
  </si>
  <si>
    <t>stażysci</t>
  </si>
  <si>
    <t>Kolegium Miejskie</t>
  </si>
  <si>
    <t>Ośrodek Szkolno-Wych Nr 1</t>
  </si>
  <si>
    <t>Ośrodek Szkolno-Wych Nr 2</t>
  </si>
  <si>
    <t>Zespół Szkół Budowlanych</t>
  </si>
  <si>
    <t>Zespół Szkół Mechanicznych</t>
  </si>
  <si>
    <t>Zespół Szkół Budown.Okręt.</t>
  </si>
  <si>
    <t>Zespół Szkół Zawodowych Nr 1</t>
  </si>
  <si>
    <t>Zespół Szkół Zawodowych Nr 2</t>
  </si>
  <si>
    <t>Spec.Ośrodek Szk-Wych Nr 1</t>
  </si>
  <si>
    <t>Spec.Ośrodek Szk-Wych Nr 2</t>
  </si>
  <si>
    <t>Specj.Ośr.Szk.Wych   85403</t>
  </si>
  <si>
    <t>Poradnia Psych-Pedagog Nr 1</t>
  </si>
  <si>
    <t>Poradnia Psych-Pedagog Nr 2</t>
  </si>
  <si>
    <t>Poradnia Psych-Pedagog Nr 3</t>
  </si>
  <si>
    <t>Poradnia Psych-Pedagog 85406</t>
  </si>
  <si>
    <t>Internaty i bursy szkolne 85410</t>
  </si>
  <si>
    <t>§ 4010</t>
  </si>
  <si>
    <t>§ 4040</t>
  </si>
  <si>
    <t>§ 4110</t>
  </si>
  <si>
    <t>§ 4120</t>
  </si>
  <si>
    <t>§4260</t>
  </si>
  <si>
    <t>dyplom.</t>
  </si>
  <si>
    <t>zatrudnienie</t>
  </si>
  <si>
    <t>Razem</t>
  </si>
  <si>
    <t>adm.</t>
  </si>
  <si>
    <t>kontrakt</t>
  </si>
  <si>
    <t>mian.</t>
  </si>
  <si>
    <t>podstawy programowe</t>
  </si>
  <si>
    <t>realizacja programu</t>
  </si>
  <si>
    <t>klasy IB</t>
  </si>
  <si>
    <t>klasy  dwujęzyczne</t>
  </si>
  <si>
    <t>nauczanie indywidualne</t>
  </si>
  <si>
    <t>pozostałe biblioteka pedagodzy</t>
  </si>
  <si>
    <t>Razem  w tym</t>
  </si>
  <si>
    <t>§ 4270</t>
  </si>
  <si>
    <t>Zespół Szkól  Adm.Ekonomicznych</t>
  </si>
  <si>
    <t>Zespół Szkół Chłodniczych i Elektronicznych</t>
  </si>
  <si>
    <t>Zespół Szkół Hotelarsko-Gastronom.</t>
  </si>
  <si>
    <t>Zesp.Sz.Budowlanych</t>
  </si>
  <si>
    <t>Technikum Transportowe</t>
  </si>
  <si>
    <t>Zespół Szkół Usługowych</t>
  </si>
  <si>
    <t>ilość osób</t>
  </si>
  <si>
    <t>Szkoły Zawodowe                80130</t>
  </si>
  <si>
    <t>Szkoła Muzyczna                80132</t>
  </si>
  <si>
    <t>Licea Profilowane               80123</t>
  </si>
  <si>
    <t>Gimnazja Specjalne             80111</t>
  </si>
  <si>
    <t>Szkoły Podstaw.Specj          80102</t>
  </si>
  <si>
    <t>etaty pedagogiczne w tym</t>
  </si>
  <si>
    <t>Zespól Szkół Ogólnokształcącyc Nr 6</t>
  </si>
  <si>
    <t>Zespół Szkół Specjalnych nr 17</t>
  </si>
  <si>
    <t>Licea ogólnokształcące  specjalne      80121</t>
  </si>
  <si>
    <t>Licea ogólnokształcące   80120</t>
  </si>
  <si>
    <t>Zespół Szkół Hotelarsko-Gastronomicznych</t>
  </si>
  <si>
    <t>Zespól Szkół Usługowych</t>
  </si>
  <si>
    <t>Zespół Szkół Budownictwa Okrętowego</t>
  </si>
  <si>
    <t>Zespól Szkól Specjalnych Nr 17</t>
  </si>
  <si>
    <t>Specjalny Ośrodek Szkolno-Wych Nr 1</t>
  </si>
  <si>
    <t>Specjalny Ośrodek Szkolno-Wych Nr 2</t>
  </si>
  <si>
    <t>Szkoły zawodowe specjalne 80134</t>
  </si>
  <si>
    <t>Zespól Szkół Budownictwa Okrętowego 80140</t>
  </si>
  <si>
    <t>Gdyński Ośrodek Dokszt.Nauczycieli   80141</t>
  </si>
  <si>
    <t>Zespół Szkół Specjalnych Nr 17   - 85401</t>
  </si>
  <si>
    <t>Młodzieżowy Dom Kultury   85407</t>
  </si>
  <si>
    <t>Szkolne Schronisko Młodzieżowe 85417</t>
  </si>
  <si>
    <t>RAZEM  801</t>
  </si>
  <si>
    <t>§6050</t>
  </si>
  <si>
    <t>§ 6060</t>
  </si>
  <si>
    <t>Pozostałe wydatki</t>
  </si>
  <si>
    <t xml:space="preserve">Plan </t>
  </si>
  <si>
    <t>Wykonanie ogółem</t>
  </si>
  <si>
    <t>% wyk.</t>
  </si>
  <si>
    <t>Załącznik nr 7</t>
  </si>
  <si>
    <t>ZESTAWIENIE WYKONANIA JEDNOSTKOWYCH PLANÓW FINANSOWYCH SZKÓŁ PONADPODSTAWOWYCH I PLACÓWEK EDUKACYJNO - WYCHOWAWCZYCH  ZA 2007 ROK</t>
  </si>
  <si>
    <t>liczba uczniów ogółem</t>
  </si>
  <si>
    <t>program poza minimum</t>
  </si>
  <si>
    <t>liczba oddziałów</t>
  </si>
  <si>
    <t>ZESTAWIENIE WYKONANIA ZADAŃ RZECZOWYCH SZKÓŁ PONADPODSTAWOWYCH I PLACÓWEK EDUKACYJNO - WYCHOWAWCZYCH  ZA 2007 ROK</t>
  </si>
  <si>
    <t>Rozdział 80101 - szkoły  podstawowe</t>
  </si>
  <si>
    <t>Jednostka</t>
  </si>
  <si>
    <t>Nr</t>
  </si>
  <si>
    <t>organizacyjna</t>
  </si>
  <si>
    <t>§ 4260</t>
  </si>
  <si>
    <t>§ 4440</t>
  </si>
  <si>
    <t>§ 6050</t>
  </si>
  <si>
    <t>ZS Nr 2</t>
  </si>
  <si>
    <t>SP Nr 6</t>
  </si>
  <si>
    <t>ZS Nr 5</t>
  </si>
  <si>
    <t>SP Nr 10</t>
  </si>
  <si>
    <t>ZS Nr 6</t>
  </si>
  <si>
    <t>ZS Nr 7</t>
  </si>
  <si>
    <t>SP Nr 13</t>
  </si>
  <si>
    <t>ZSSOg</t>
  </si>
  <si>
    <t>SP Nr 16</t>
  </si>
  <si>
    <t>SP Nr 17</t>
  </si>
  <si>
    <t>SP Nr 18</t>
  </si>
  <si>
    <t>SP Nr 20</t>
  </si>
  <si>
    <t>SP Nr 21</t>
  </si>
  <si>
    <t>SP Nr 23</t>
  </si>
  <si>
    <t>SP Nr 26</t>
  </si>
  <si>
    <t>SP Nr 28</t>
  </si>
  <si>
    <t>SP Nr 29</t>
  </si>
  <si>
    <t>ZS Nr 9</t>
  </si>
  <si>
    <t>SP Nr 33</t>
  </si>
  <si>
    <t>SP Nr 34</t>
  </si>
  <si>
    <t>SP Nr 35</t>
  </si>
  <si>
    <t>SP Nr 37</t>
  </si>
  <si>
    <t>SP Nr 39</t>
  </si>
  <si>
    <t>SP Nr 40</t>
  </si>
  <si>
    <t>ZS Nr 10</t>
  </si>
  <si>
    <t>ZS Nr 11</t>
  </si>
  <si>
    <t>ZS Nr 12</t>
  </si>
  <si>
    <t>SP Nr 45</t>
  </si>
  <si>
    <t>ZS Nr 13</t>
  </si>
  <si>
    <t>ZS Nr 14</t>
  </si>
  <si>
    <t>ZS Nr 15</t>
  </si>
  <si>
    <t>Rozdział 80110 - gimnazja</t>
  </si>
  <si>
    <t>Gimnazjum Nr 1</t>
  </si>
  <si>
    <t>G 1</t>
  </si>
  <si>
    <t>G 2</t>
  </si>
  <si>
    <t>Gimnazjum Nr 3</t>
  </si>
  <si>
    <t>G 3</t>
  </si>
  <si>
    <t>Gimnazjum Nr 4</t>
  </si>
  <si>
    <t>G 4</t>
  </si>
  <si>
    <t>G 5</t>
  </si>
  <si>
    <t>ZSOg.Nr 3</t>
  </si>
  <si>
    <t>G 6</t>
  </si>
  <si>
    <t>G 7</t>
  </si>
  <si>
    <t>G 8</t>
  </si>
  <si>
    <t>ZSSOg.</t>
  </si>
  <si>
    <t>G 9</t>
  </si>
  <si>
    <t>ZSOg.Nr 6</t>
  </si>
  <si>
    <t>G 10</t>
  </si>
  <si>
    <t>Gimnazjum Nr 11</t>
  </si>
  <si>
    <t>G 11</t>
  </si>
  <si>
    <t>G 12</t>
  </si>
  <si>
    <t>ZSOg.Nr 5</t>
  </si>
  <si>
    <t>G 13</t>
  </si>
  <si>
    <t>ZSOg.Nr 4</t>
  </si>
  <si>
    <t>G 14</t>
  </si>
  <si>
    <t>G 15</t>
  </si>
  <si>
    <t>G 16</t>
  </si>
  <si>
    <t>G 17</t>
  </si>
  <si>
    <t>G 18</t>
  </si>
  <si>
    <t>G 19</t>
  </si>
  <si>
    <t>G 20</t>
  </si>
  <si>
    <t>ZSZ Nr 1</t>
  </si>
  <si>
    <t>Gimn.dla prac.</t>
  </si>
  <si>
    <t>ZSOg.Nr 2</t>
  </si>
  <si>
    <t>G 23</t>
  </si>
  <si>
    <t>ZSOg.Nr 1</t>
  </si>
  <si>
    <t>G 24</t>
  </si>
  <si>
    <t>Rozdział 85401- Świetlice szkolne</t>
  </si>
  <si>
    <t>ZSOg Nr 6</t>
  </si>
  <si>
    <t>ZSOg Nr 5</t>
  </si>
  <si>
    <t>G.13</t>
  </si>
  <si>
    <t xml:space="preserve">       Liczba  uczniów </t>
  </si>
  <si>
    <t xml:space="preserve">          Liczba oddziałów</t>
  </si>
  <si>
    <t>Etaty N+A+O</t>
  </si>
  <si>
    <t xml:space="preserve">          Z a  t r u d n i e n i e</t>
  </si>
  <si>
    <t>Nauczanie indywidualne</t>
  </si>
  <si>
    <t>Pedagodzy</t>
  </si>
  <si>
    <t>Psycholodzy</t>
  </si>
  <si>
    <t>Świetlca</t>
  </si>
  <si>
    <t>Żywienie w szkołach w tym:</t>
  </si>
  <si>
    <t>SP/Gimn.</t>
  </si>
  <si>
    <t xml:space="preserve">Razem </t>
  </si>
  <si>
    <t>"O"</t>
  </si>
  <si>
    <t>SP</t>
  </si>
  <si>
    <t>Gimn.</t>
  </si>
  <si>
    <t xml:space="preserve">SP  </t>
  </si>
  <si>
    <t xml:space="preserve">Ogółem </t>
  </si>
  <si>
    <t xml:space="preserve">Nauczyciele razem </t>
  </si>
  <si>
    <t>S</t>
  </si>
  <si>
    <t>K</t>
  </si>
  <si>
    <t>M</t>
  </si>
  <si>
    <t>D</t>
  </si>
  <si>
    <t>"O"staż</t>
  </si>
  <si>
    <t>"O"kontr</t>
  </si>
  <si>
    <t>"O"mian</t>
  </si>
  <si>
    <t>"O"dypl</t>
  </si>
  <si>
    <t>P.staż</t>
  </si>
  <si>
    <t>P.kontr.</t>
  </si>
  <si>
    <t>P.mian.</t>
  </si>
  <si>
    <t>P.dypl.</t>
  </si>
  <si>
    <t>G.staż</t>
  </si>
  <si>
    <t>G.kontr.</t>
  </si>
  <si>
    <t>G.mian.</t>
  </si>
  <si>
    <t>G.dypl.</t>
  </si>
  <si>
    <t>Adm.</t>
  </si>
  <si>
    <t>Obsł.</t>
  </si>
  <si>
    <t>ilość godzin tygodn</t>
  </si>
  <si>
    <t>uczn.</t>
  </si>
  <si>
    <t>uczestn.</t>
  </si>
  <si>
    <t>limit</t>
  </si>
  <si>
    <t>pełnopł.</t>
  </si>
  <si>
    <t>MOPS</t>
  </si>
  <si>
    <t>inne</t>
  </si>
  <si>
    <t>prac.</t>
  </si>
  <si>
    <t>S.P Nr 6</t>
  </si>
  <si>
    <t>ZSOg Nr 3</t>
  </si>
  <si>
    <t>ZSOg Nr 4</t>
  </si>
  <si>
    <t>Gim.dla dor</t>
  </si>
  <si>
    <t>ZSOg Nr 2</t>
  </si>
  <si>
    <t>ZSOg Nr 1</t>
  </si>
  <si>
    <t>Ogółem</t>
  </si>
  <si>
    <t>Rozdz.80103 Oddziały "O"  w szkołach  podstawowych</t>
  </si>
  <si>
    <t>Zs Nr 6</t>
  </si>
  <si>
    <t>ZESTAWIENIE WYKONANIA JEDNOSTKOWYCH PLANÓW FINANSOWYCH SZKÓŁ PODSTAWOWYCH  ZA 2007 ROK</t>
  </si>
  <si>
    <t>ZESTAWIENIE WYKONANIA JEDNOSTKOWYCH PLANÓW FINANSOWYCH ODDZIAŁÓW "O" W SZKOŁACH PODSTAWOWYCH za 2007 rok</t>
  </si>
  <si>
    <t>ZESTAWIENIE WYKONANIA JEDNOSTKOWYCH PLANÓW FINANSOWYCH GIMNAZJÓW za 2007 rok</t>
  </si>
  <si>
    <t>Pozostałe wydatki rzeczowe</t>
  </si>
  <si>
    <t>Jednostka organizacyjna</t>
  </si>
  <si>
    <t>Nr plac.</t>
  </si>
  <si>
    <t>Średnia liczba uczniów</t>
  </si>
  <si>
    <t>Koszt 1 ucznia</t>
  </si>
  <si>
    <t>Plan wydatków</t>
  </si>
  <si>
    <t>Razem wyk. wydatków</t>
  </si>
  <si>
    <t>% wykon.</t>
  </si>
  <si>
    <t>Załącznik nr 2</t>
  </si>
  <si>
    <t>Załącznik nr 3</t>
  </si>
  <si>
    <t>Załącznik nr 4</t>
  </si>
  <si>
    <t>ZESTAWIENIE WYKONANIA JEDNOSTKOWYCH PLANÓW FINANSOWYCH ŚWIETLIC SZKOLNYCH za 2007rok.</t>
  </si>
  <si>
    <t>ZESTAWIENIE WYKONANIA ZADAŃ RZECZOWYCH SZKÓŁ PODSTAWOWYCH  I GIMNAZJÓW ZA 2007 ROK</t>
  </si>
  <si>
    <t>Z a  t r u d n i e n i e</t>
  </si>
  <si>
    <t>Załącznik nr 5</t>
  </si>
  <si>
    <t>Załącznik nr 6</t>
  </si>
  <si>
    <t>Sprawozdanie z wykonania planu rzeczowo - finansowego przedszkoli za 2007 r.</t>
  </si>
  <si>
    <t>Nr Placówki</t>
  </si>
  <si>
    <t>Liczba dzieci ogół.</t>
  </si>
  <si>
    <t>w tym poza mini.</t>
  </si>
  <si>
    <t>Liczba oddzi.</t>
  </si>
  <si>
    <t>Ogółem żywion.</t>
  </si>
  <si>
    <t>Stan zatrudnienia</t>
  </si>
  <si>
    <t xml:space="preserve">Dotacja             </t>
  </si>
  <si>
    <t>Wydatki inwestycyjne</t>
  </si>
  <si>
    <t>Koszt dziecka</t>
  </si>
  <si>
    <t>Ogół.</t>
  </si>
  <si>
    <t>w tym</t>
  </si>
  <si>
    <t>Naucz.</t>
  </si>
  <si>
    <t>Admini.</t>
  </si>
  <si>
    <t>Obsłu.</t>
  </si>
  <si>
    <t>Plan</t>
  </si>
  <si>
    <t>Wykonanie</t>
  </si>
  <si>
    <t>Przedszkole 4</t>
  </si>
  <si>
    <t>Przedszkole 5</t>
  </si>
  <si>
    <t>Przedszkole 6</t>
  </si>
  <si>
    <t>Przedszkole 7</t>
  </si>
  <si>
    <t>Przedszkole 8</t>
  </si>
  <si>
    <t>Przedszkole 9</t>
  </si>
  <si>
    <t>Przedszkole 11</t>
  </si>
  <si>
    <t>Przedszkole 13</t>
  </si>
  <si>
    <t>Przedszkole 14</t>
  </si>
  <si>
    <t>Przedszkole 15</t>
  </si>
  <si>
    <t>Przedszkole 16</t>
  </si>
  <si>
    <t>Przedszkole 18</t>
  </si>
  <si>
    <t>Przedszkole 19</t>
  </si>
  <si>
    <t>Przedszkole 21</t>
  </si>
  <si>
    <t>Przedszkole 22</t>
  </si>
  <si>
    <t>Przedszkole 23</t>
  </si>
  <si>
    <t>Przedszkole 24</t>
  </si>
  <si>
    <t>Przedszkole 25</t>
  </si>
  <si>
    <t>Przedszkole 26</t>
  </si>
  <si>
    <t>Przedszkole 27</t>
  </si>
  <si>
    <t>Przedszkole 28</t>
  </si>
  <si>
    <t>Przedszkole 29</t>
  </si>
  <si>
    <t>Przedszkole 30</t>
  </si>
  <si>
    <t>Przedszkole 31</t>
  </si>
  <si>
    <t>Przedszkole 32</t>
  </si>
  <si>
    <t>Przedszkole 35</t>
  </si>
  <si>
    <t>Przedszkole 36</t>
  </si>
  <si>
    <t>Przedszkole 42</t>
  </si>
  <si>
    <t>Przedszkole 43</t>
  </si>
  <si>
    <t>Przedszkole 44</t>
  </si>
  <si>
    <t>Przedszkole 46</t>
  </si>
  <si>
    <t>Przedszkole 47</t>
  </si>
  <si>
    <t>Przedszkole 48</t>
  </si>
  <si>
    <t>Przedszkole 49</t>
  </si>
  <si>
    <t>Przedszkole 50</t>
  </si>
  <si>
    <t>Przedszkole 51</t>
  </si>
  <si>
    <t>Przedszkole 52</t>
  </si>
  <si>
    <t>RAZEM:</t>
  </si>
  <si>
    <t>Sr. Nierozd.</t>
  </si>
  <si>
    <t>Socrates Ps 16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</si>
</sst>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0.0%"/>
    <numFmt numFmtId="169" formatCode="0.000%"/>
    <numFmt numFmtId="170" formatCode="0.00000"/>
    <numFmt numFmtId="171" formatCode="0.0000"/>
    <numFmt numFmtId="172" formatCode="0.000"/>
    <numFmt numFmtId="173" formatCode="0.0"/>
    <numFmt numFmtId="174" formatCode="0.0000000"/>
    <numFmt numFmtId="175" formatCode="0.00000000"/>
    <numFmt numFmtId="176" formatCode="0.000000"/>
    <numFmt numFmtId="177" formatCode="d/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i/>
      <sz val="7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color indexed="8"/>
      <name val="Arial CE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Arial CE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7"/>
      <name val="Arial CE"/>
      <family val="0"/>
    </font>
    <font>
      <sz val="7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0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168" fontId="7" fillId="0" borderId="10" xfId="52" applyNumberFormat="1" applyFont="1" applyBorder="1" applyAlignment="1">
      <alignment/>
    </xf>
    <xf numFmtId="168" fontId="6" fillId="0" borderId="10" xfId="52" applyNumberFormat="1" applyFont="1" applyBorder="1" applyAlignment="1">
      <alignment/>
    </xf>
    <xf numFmtId="168" fontId="6" fillId="0" borderId="10" xfId="52" applyNumberFormat="1" applyFont="1" applyBorder="1" applyAlignment="1">
      <alignment wrapText="1"/>
    </xf>
    <xf numFmtId="168" fontId="4" fillId="0" borderId="10" xfId="52" applyNumberFormat="1" applyFont="1" applyBorder="1" applyAlignment="1">
      <alignment/>
    </xf>
    <xf numFmtId="168" fontId="6" fillId="0" borderId="10" xfId="52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7" fillId="0" borderId="11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1" fontId="14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3" fontId="13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3" fillId="0" borderId="10" xfId="0" applyNumberFormat="1" applyFont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4" fillId="0" borderId="11" xfId="0" applyNumberFormat="1" applyFont="1" applyBorder="1" applyAlignment="1">
      <alignment horizontal="center"/>
    </xf>
    <xf numFmtId="3" fontId="14" fillId="0" borderId="12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13" fillId="0" borderId="12" xfId="0" applyFont="1" applyBorder="1" applyAlignment="1">
      <alignment horizontal="left"/>
    </xf>
    <xf numFmtId="3" fontId="13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 horizontal="left"/>
    </xf>
    <xf numFmtId="9" fontId="10" fillId="0" borderId="0" xfId="52" applyFont="1" applyAlignment="1">
      <alignment/>
    </xf>
    <xf numFmtId="9" fontId="7" fillId="0" borderId="0" xfId="52" applyFont="1" applyBorder="1" applyAlignment="1">
      <alignment/>
    </xf>
    <xf numFmtId="9" fontId="0" fillId="0" borderId="0" xfId="52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9" fontId="13" fillId="0" borderId="14" xfId="52" applyFont="1" applyBorder="1" applyAlignment="1">
      <alignment horizontal="center"/>
    </xf>
    <xf numFmtId="168" fontId="14" fillId="0" borderId="14" xfId="52" applyNumberFormat="1" applyFont="1" applyBorder="1" applyAlignment="1">
      <alignment horizontal="right"/>
    </xf>
    <xf numFmtId="9" fontId="13" fillId="0" borderId="14" xfId="52" applyFont="1" applyBorder="1" applyAlignment="1">
      <alignment/>
    </xf>
    <xf numFmtId="168" fontId="14" fillId="0" borderId="10" xfId="52" applyNumberFormat="1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8" fontId="13" fillId="0" borderId="10" xfId="52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8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27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left"/>
    </xf>
    <xf numFmtId="3" fontId="26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28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3" fontId="48" fillId="0" borderId="10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3" fontId="48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3" fontId="4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3" fontId="24" fillId="0" borderId="0" xfId="0" applyNumberFormat="1" applyFont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owanie\Ania\Dokumenty\Sprawozdania\Sprawozdania%202007\Roczne%202007\Wydzia&#322;y\OE%20nr%203%202007%20przedszk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rawozdanie"/>
      <sheetName val="szczegóły"/>
      <sheetName val="uzgodnienia"/>
    </sheetNames>
    <sheetDataSet>
      <sheetData sheetId="1">
        <row r="7">
          <cell r="C7">
            <v>68</v>
          </cell>
          <cell r="K7">
            <v>63</v>
          </cell>
          <cell r="O7">
            <v>3</v>
          </cell>
          <cell r="Q7">
            <v>68</v>
          </cell>
          <cell r="AC7">
            <v>6.51</v>
          </cell>
          <cell r="AM7">
            <v>1.5</v>
          </cell>
          <cell r="AQ7">
            <v>6.75</v>
          </cell>
          <cell r="AW7">
            <v>430268</v>
          </cell>
          <cell r="AX7">
            <v>430268</v>
          </cell>
          <cell r="BC7">
            <v>0</v>
          </cell>
          <cell r="BD7">
            <v>0</v>
          </cell>
        </row>
        <row r="8">
          <cell r="C8">
            <v>99</v>
          </cell>
          <cell r="K8">
            <v>95</v>
          </cell>
          <cell r="O8">
            <v>4</v>
          </cell>
          <cell r="Q8">
            <v>99</v>
          </cell>
          <cell r="AC8">
            <v>8.35</v>
          </cell>
          <cell r="AM8">
            <v>1.75</v>
          </cell>
          <cell r="AQ8">
            <v>8.25</v>
          </cell>
          <cell r="AW8">
            <v>548512</v>
          </cell>
          <cell r="AX8">
            <v>548512</v>
          </cell>
          <cell r="BC8">
            <v>6100</v>
          </cell>
          <cell r="BD8">
            <v>6100</v>
          </cell>
        </row>
        <row r="9">
          <cell r="C9">
            <v>116</v>
          </cell>
          <cell r="K9">
            <v>115</v>
          </cell>
          <cell r="O9">
            <v>5</v>
          </cell>
          <cell r="Q9">
            <v>116</v>
          </cell>
          <cell r="AC9">
            <v>11.96</v>
          </cell>
          <cell r="AM9">
            <v>1.75</v>
          </cell>
          <cell r="AQ9">
            <v>9.25</v>
          </cell>
          <cell r="AW9">
            <v>695900</v>
          </cell>
          <cell r="AX9">
            <v>695309.12</v>
          </cell>
          <cell r="BC9">
            <v>0</v>
          </cell>
          <cell r="BD9">
            <v>0</v>
          </cell>
        </row>
        <row r="10">
          <cell r="C10">
            <v>92</v>
          </cell>
          <cell r="K10">
            <v>81.08</v>
          </cell>
          <cell r="O10">
            <v>4</v>
          </cell>
          <cell r="Q10">
            <v>89.17</v>
          </cell>
          <cell r="AC10">
            <v>9.799999999999999</v>
          </cell>
          <cell r="AM10">
            <v>2</v>
          </cell>
          <cell r="AQ10">
            <v>8.83</v>
          </cell>
          <cell r="AW10">
            <v>626847</v>
          </cell>
          <cell r="AX10">
            <v>626801</v>
          </cell>
          <cell r="BC10">
            <v>0</v>
          </cell>
          <cell r="BD10">
            <v>0</v>
          </cell>
        </row>
        <row r="11">
          <cell r="C11">
            <v>70</v>
          </cell>
          <cell r="K11">
            <v>56</v>
          </cell>
          <cell r="O11">
            <v>3</v>
          </cell>
          <cell r="Q11">
            <v>66</v>
          </cell>
          <cell r="AC11">
            <v>7.46</v>
          </cell>
          <cell r="AM11">
            <v>1.875</v>
          </cell>
          <cell r="AQ11">
            <v>5.5</v>
          </cell>
          <cell r="AW11">
            <v>715428</v>
          </cell>
          <cell r="AX11">
            <v>715428</v>
          </cell>
          <cell r="BC11">
            <v>8690</v>
          </cell>
          <cell r="BD11">
            <v>8690</v>
          </cell>
        </row>
        <row r="12">
          <cell r="C12">
            <v>83.5</v>
          </cell>
          <cell r="K12">
            <v>69.25</v>
          </cell>
          <cell r="O12">
            <v>4</v>
          </cell>
          <cell r="Q12">
            <v>75.33</v>
          </cell>
          <cell r="AC12">
            <v>10.11</v>
          </cell>
          <cell r="AM12">
            <v>1.58</v>
          </cell>
          <cell r="AQ12">
            <v>7.91</v>
          </cell>
          <cell r="AW12">
            <v>537367</v>
          </cell>
          <cell r="AX12">
            <v>537367</v>
          </cell>
          <cell r="BC12">
            <v>0</v>
          </cell>
          <cell r="BD12">
            <v>0</v>
          </cell>
        </row>
        <row r="13">
          <cell r="C13">
            <v>99</v>
          </cell>
          <cell r="K13">
            <v>98</v>
          </cell>
          <cell r="O13">
            <v>4</v>
          </cell>
          <cell r="Q13">
            <v>99</v>
          </cell>
          <cell r="AC13">
            <v>9.100000000000001</v>
          </cell>
          <cell r="AM13">
            <v>1.75</v>
          </cell>
          <cell r="AQ13">
            <v>8.104</v>
          </cell>
          <cell r="AW13">
            <v>767157</v>
          </cell>
          <cell r="AX13">
            <v>767157</v>
          </cell>
          <cell r="BC13">
            <v>0</v>
          </cell>
          <cell r="BD13">
            <v>0</v>
          </cell>
        </row>
        <row r="14">
          <cell r="C14">
            <v>99</v>
          </cell>
          <cell r="K14">
            <v>87</v>
          </cell>
          <cell r="O14">
            <v>4</v>
          </cell>
          <cell r="Q14">
            <v>99</v>
          </cell>
          <cell r="AC14">
            <v>8.27</v>
          </cell>
          <cell r="AM14">
            <v>2.08</v>
          </cell>
          <cell r="AQ14">
            <v>8.42</v>
          </cell>
          <cell r="AW14">
            <v>641804</v>
          </cell>
          <cell r="AX14">
            <v>591804</v>
          </cell>
          <cell r="BC14">
            <v>0</v>
          </cell>
          <cell r="BD14">
            <v>0</v>
          </cell>
        </row>
        <row r="15">
          <cell r="C15">
            <v>60.84</v>
          </cell>
          <cell r="K15">
            <v>46.17</v>
          </cell>
          <cell r="O15">
            <v>3</v>
          </cell>
          <cell r="Q15">
            <v>52.92</v>
          </cell>
          <cell r="AC15">
            <v>5.93</v>
          </cell>
          <cell r="AM15">
            <v>1.5</v>
          </cell>
          <cell r="AQ15">
            <v>5.5</v>
          </cell>
          <cell r="AW15">
            <v>397048</v>
          </cell>
          <cell r="AX15">
            <v>397048</v>
          </cell>
          <cell r="BC15">
            <v>0</v>
          </cell>
          <cell r="BD15">
            <v>0</v>
          </cell>
        </row>
        <row r="16">
          <cell r="C16">
            <v>106.63</v>
          </cell>
          <cell r="K16">
            <v>87.3</v>
          </cell>
          <cell r="O16">
            <v>4</v>
          </cell>
          <cell r="Q16">
            <v>74.9</v>
          </cell>
          <cell r="AC16">
            <v>9.53</v>
          </cell>
          <cell r="AM16">
            <v>1.75</v>
          </cell>
          <cell r="AQ16">
            <v>7.5</v>
          </cell>
          <cell r="AW16">
            <v>559202</v>
          </cell>
          <cell r="AX16">
            <v>559202</v>
          </cell>
          <cell r="BC16">
            <v>2027</v>
          </cell>
          <cell r="BD16">
            <v>2027</v>
          </cell>
        </row>
        <row r="17">
          <cell r="C17">
            <v>103</v>
          </cell>
          <cell r="K17">
            <v>84</v>
          </cell>
          <cell r="O17">
            <v>4</v>
          </cell>
          <cell r="Q17">
            <v>103</v>
          </cell>
          <cell r="AC17">
            <v>9.34</v>
          </cell>
          <cell r="AM17">
            <v>1.75</v>
          </cell>
          <cell r="AQ17">
            <v>7.83</v>
          </cell>
          <cell r="AW17">
            <v>667307</v>
          </cell>
          <cell r="AX17">
            <v>667307</v>
          </cell>
          <cell r="BC17">
            <v>0</v>
          </cell>
          <cell r="BD17">
            <v>0</v>
          </cell>
        </row>
        <row r="18">
          <cell r="C18">
            <v>114.59</v>
          </cell>
          <cell r="K18">
            <v>48.42</v>
          </cell>
          <cell r="O18">
            <v>5</v>
          </cell>
          <cell r="Q18">
            <v>97.33</v>
          </cell>
          <cell r="AC18">
            <v>9.879999999999999</v>
          </cell>
          <cell r="AM18">
            <v>1.75</v>
          </cell>
          <cell r="AQ18">
            <v>8.17</v>
          </cell>
          <cell r="AW18">
            <v>632741</v>
          </cell>
          <cell r="AX18">
            <v>632741</v>
          </cell>
          <cell r="BC18">
            <v>0</v>
          </cell>
          <cell r="BD18">
            <v>0</v>
          </cell>
        </row>
        <row r="19">
          <cell r="C19">
            <v>73.99</v>
          </cell>
          <cell r="K19">
            <v>63.66</v>
          </cell>
          <cell r="O19">
            <v>4</v>
          </cell>
          <cell r="Q19">
            <v>72.4</v>
          </cell>
          <cell r="AC19">
            <v>8.92</v>
          </cell>
          <cell r="AM19">
            <v>1.75</v>
          </cell>
          <cell r="AQ19">
            <v>7</v>
          </cell>
          <cell r="AW19">
            <v>560877</v>
          </cell>
          <cell r="AX19">
            <v>560597.66</v>
          </cell>
          <cell r="BC19">
            <v>5917</v>
          </cell>
          <cell r="BD19">
            <v>5917</v>
          </cell>
        </row>
        <row r="20">
          <cell r="C20">
            <v>63</v>
          </cell>
          <cell r="K20">
            <v>58.75</v>
          </cell>
          <cell r="O20">
            <v>3</v>
          </cell>
          <cell r="Q20">
            <v>61.83</v>
          </cell>
          <cell r="AC20">
            <v>6.779999999999999</v>
          </cell>
          <cell r="AM20">
            <v>1.51</v>
          </cell>
          <cell r="AQ20">
            <v>5.5</v>
          </cell>
          <cell r="AW20">
            <v>432177</v>
          </cell>
          <cell r="AX20">
            <v>432177</v>
          </cell>
          <cell r="BC20">
            <v>0</v>
          </cell>
          <cell r="BD20">
            <v>0</v>
          </cell>
        </row>
        <row r="21">
          <cell r="C21">
            <v>97</v>
          </cell>
          <cell r="K21">
            <v>80.92</v>
          </cell>
          <cell r="O21">
            <v>5</v>
          </cell>
          <cell r="Q21">
            <v>96.33</v>
          </cell>
          <cell r="AC21">
            <v>10.52</v>
          </cell>
          <cell r="AM21">
            <v>1.77</v>
          </cell>
          <cell r="AQ21">
            <v>8.8</v>
          </cell>
          <cell r="AW21">
            <v>655375</v>
          </cell>
          <cell r="AX21">
            <v>655374.29</v>
          </cell>
          <cell r="BC21">
            <v>0</v>
          </cell>
          <cell r="BD21">
            <v>0</v>
          </cell>
        </row>
        <row r="22">
          <cell r="C22">
            <v>94</v>
          </cell>
          <cell r="K22">
            <v>92</v>
          </cell>
          <cell r="O22">
            <v>4</v>
          </cell>
          <cell r="Q22">
            <v>92</v>
          </cell>
          <cell r="AC22">
            <v>8.968</v>
          </cell>
          <cell r="AM22">
            <v>1.875</v>
          </cell>
          <cell r="AQ22">
            <v>6.58</v>
          </cell>
          <cell r="AW22">
            <v>533273</v>
          </cell>
          <cell r="AX22">
            <v>533273</v>
          </cell>
          <cell r="BC22">
            <v>7134</v>
          </cell>
          <cell r="BD22">
            <v>7134</v>
          </cell>
        </row>
        <row r="23">
          <cell r="C23">
            <v>109</v>
          </cell>
          <cell r="K23">
            <v>109</v>
          </cell>
          <cell r="O23">
            <v>4.3</v>
          </cell>
          <cell r="Q23">
            <v>109</v>
          </cell>
          <cell r="AC23">
            <v>10.190000000000001</v>
          </cell>
          <cell r="AM23">
            <v>1.82</v>
          </cell>
          <cell r="AQ23">
            <v>8.75</v>
          </cell>
          <cell r="AW23">
            <v>643612</v>
          </cell>
          <cell r="AX23">
            <v>643611.99</v>
          </cell>
          <cell r="BC23">
            <v>0</v>
          </cell>
          <cell r="BD23">
            <v>0</v>
          </cell>
        </row>
        <row r="24">
          <cell r="C24">
            <v>86</v>
          </cell>
          <cell r="K24">
            <v>81</v>
          </cell>
          <cell r="O24">
            <v>4</v>
          </cell>
          <cell r="Q24">
            <v>83</v>
          </cell>
          <cell r="AC24">
            <v>8.49</v>
          </cell>
          <cell r="AM24">
            <v>1.75</v>
          </cell>
          <cell r="AQ24">
            <v>7.75</v>
          </cell>
          <cell r="AW24">
            <v>564219</v>
          </cell>
          <cell r="AX24">
            <v>564211</v>
          </cell>
          <cell r="BC24">
            <v>18430</v>
          </cell>
          <cell r="BD24">
            <v>18422</v>
          </cell>
        </row>
        <row r="25">
          <cell r="C25">
            <v>137</v>
          </cell>
          <cell r="K25">
            <v>100</v>
          </cell>
          <cell r="O25">
            <v>6</v>
          </cell>
          <cell r="Q25">
            <v>100</v>
          </cell>
          <cell r="AC25">
            <v>11.48</v>
          </cell>
          <cell r="AM25">
            <v>1.81</v>
          </cell>
          <cell r="AQ25">
            <v>9</v>
          </cell>
          <cell r="AW25">
            <v>769544</v>
          </cell>
          <cell r="AX25">
            <v>769544</v>
          </cell>
          <cell r="BC25">
            <v>0</v>
          </cell>
          <cell r="BD25">
            <v>0</v>
          </cell>
        </row>
        <row r="26">
          <cell r="C26">
            <v>103.16</v>
          </cell>
          <cell r="K26">
            <v>85.33</v>
          </cell>
          <cell r="O26">
            <v>4.33</v>
          </cell>
          <cell r="Q26">
            <v>100.42</v>
          </cell>
          <cell r="AC26">
            <v>12.23</v>
          </cell>
          <cell r="AM26">
            <v>1.75</v>
          </cell>
          <cell r="AQ26">
            <v>8.25</v>
          </cell>
          <cell r="AW26">
            <v>769892</v>
          </cell>
          <cell r="AX26">
            <v>709890.78</v>
          </cell>
          <cell r="BC26">
            <v>6500</v>
          </cell>
          <cell r="BD26">
            <v>6498.78</v>
          </cell>
        </row>
        <row r="27">
          <cell r="C27">
            <v>105</v>
          </cell>
          <cell r="K27">
            <v>91</v>
          </cell>
          <cell r="O27">
            <v>5</v>
          </cell>
          <cell r="Q27">
            <v>105</v>
          </cell>
          <cell r="AC27">
            <v>10.469999999999999</v>
          </cell>
          <cell r="AM27">
            <v>2</v>
          </cell>
          <cell r="AQ27">
            <v>9</v>
          </cell>
          <cell r="AW27">
            <v>620420</v>
          </cell>
          <cell r="AX27">
            <v>620420</v>
          </cell>
          <cell r="BC27">
            <v>0</v>
          </cell>
          <cell r="BD27">
            <v>0</v>
          </cell>
        </row>
        <row r="28">
          <cell r="C28">
            <v>123</v>
          </cell>
          <cell r="K28">
            <v>100</v>
          </cell>
          <cell r="O28">
            <v>5</v>
          </cell>
          <cell r="Q28">
            <v>122</v>
          </cell>
          <cell r="AC28">
            <v>11.07</v>
          </cell>
          <cell r="AM28">
            <v>1.83</v>
          </cell>
          <cell r="AQ28">
            <v>9.55</v>
          </cell>
          <cell r="AW28">
            <v>651337</v>
          </cell>
          <cell r="AX28">
            <v>651337</v>
          </cell>
          <cell r="BC28">
            <v>0</v>
          </cell>
          <cell r="BD28">
            <v>0</v>
          </cell>
        </row>
        <row r="29">
          <cell r="C29">
            <v>85.33</v>
          </cell>
          <cell r="K29">
            <v>56.83</v>
          </cell>
          <cell r="O29">
            <v>4</v>
          </cell>
          <cell r="Q29">
            <v>72.4</v>
          </cell>
          <cell r="AC29">
            <v>7.59</v>
          </cell>
          <cell r="AM29">
            <v>1.75</v>
          </cell>
          <cell r="AQ29">
            <v>7.23</v>
          </cell>
          <cell r="AW29">
            <v>547925</v>
          </cell>
          <cell r="AX29">
            <v>547925</v>
          </cell>
          <cell r="BC29">
            <v>0</v>
          </cell>
          <cell r="BD29">
            <v>0</v>
          </cell>
        </row>
        <row r="30">
          <cell r="C30">
            <v>110</v>
          </cell>
          <cell r="K30">
            <v>103</v>
          </cell>
          <cell r="O30">
            <v>4.33</v>
          </cell>
          <cell r="Q30">
            <v>108</v>
          </cell>
          <cell r="AC30">
            <v>9.91</v>
          </cell>
          <cell r="AM30">
            <v>1.75</v>
          </cell>
          <cell r="AQ30">
            <v>8.58</v>
          </cell>
          <cell r="AW30">
            <v>595267</v>
          </cell>
          <cell r="AX30">
            <v>595171.4</v>
          </cell>
          <cell r="BC30">
            <v>0</v>
          </cell>
          <cell r="BD30">
            <v>0</v>
          </cell>
        </row>
        <row r="31">
          <cell r="C31">
            <v>118</v>
          </cell>
          <cell r="K31">
            <v>108</v>
          </cell>
          <cell r="O31">
            <v>5</v>
          </cell>
          <cell r="Q31">
            <v>118</v>
          </cell>
          <cell r="AC31">
            <v>12.05</v>
          </cell>
          <cell r="AM31">
            <v>1.79</v>
          </cell>
          <cell r="AQ31">
            <v>9.875</v>
          </cell>
          <cell r="AW31">
            <v>734563</v>
          </cell>
          <cell r="AX31">
            <v>734563</v>
          </cell>
          <cell r="BC31">
            <v>0</v>
          </cell>
          <cell r="BD31">
            <v>0</v>
          </cell>
        </row>
        <row r="32">
          <cell r="C32">
            <v>116.67</v>
          </cell>
          <cell r="K32">
            <v>77.25</v>
          </cell>
          <cell r="O32">
            <v>5.33</v>
          </cell>
          <cell r="Q32">
            <v>77.25</v>
          </cell>
          <cell r="AC32">
            <v>9.04</v>
          </cell>
          <cell r="AM32">
            <v>2</v>
          </cell>
          <cell r="AQ32">
            <v>8.39</v>
          </cell>
          <cell r="AW32">
            <v>706831</v>
          </cell>
          <cell r="AX32">
            <v>706831</v>
          </cell>
          <cell r="BC32">
            <v>0</v>
          </cell>
          <cell r="BD32">
            <v>0</v>
          </cell>
        </row>
        <row r="33">
          <cell r="C33">
            <v>73</v>
          </cell>
          <cell r="K33">
            <v>64.6</v>
          </cell>
          <cell r="O33">
            <v>3</v>
          </cell>
          <cell r="Q33">
            <v>57.84</v>
          </cell>
          <cell r="AC33">
            <v>6.03</v>
          </cell>
          <cell r="AM33">
            <v>1.31</v>
          </cell>
          <cell r="AQ33">
            <v>6</v>
          </cell>
          <cell r="AW33">
            <v>497529</v>
          </cell>
          <cell r="AX33">
            <v>497516.73</v>
          </cell>
          <cell r="BC33">
            <v>14323</v>
          </cell>
          <cell r="BD33">
            <v>14322.8</v>
          </cell>
        </row>
        <row r="34">
          <cell r="C34">
            <v>106</v>
          </cell>
          <cell r="K34">
            <v>58</v>
          </cell>
          <cell r="O34">
            <v>5</v>
          </cell>
          <cell r="Q34">
            <v>105</v>
          </cell>
          <cell r="AC34">
            <v>9.09</v>
          </cell>
          <cell r="AM34">
            <v>1.83</v>
          </cell>
          <cell r="AQ34">
            <v>8.08</v>
          </cell>
          <cell r="AW34">
            <v>717340</v>
          </cell>
          <cell r="AX34">
            <v>714785.3</v>
          </cell>
          <cell r="BC34">
            <v>84252</v>
          </cell>
          <cell r="BD34">
            <v>81697.3</v>
          </cell>
        </row>
        <row r="35">
          <cell r="C35">
            <v>99</v>
          </cell>
          <cell r="K35">
            <v>67</v>
          </cell>
          <cell r="O35">
            <v>4.33</v>
          </cell>
          <cell r="Q35">
            <v>100</v>
          </cell>
          <cell r="AC35">
            <v>12.07</v>
          </cell>
          <cell r="AM35">
            <v>1.75</v>
          </cell>
          <cell r="AQ35">
            <v>7.33</v>
          </cell>
          <cell r="AW35">
            <v>588032</v>
          </cell>
          <cell r="AX35">
            <v>587976.2</v>
          </cell>
          <cell r="BC35">
            <v>0</v>
          </cell>
          <cell r="BD35">
            <v>0</v>
          </cell>
        </row>
        <row r="36">
          <cell r="C36">
            <v>171.08</v>
          </cell>
          <cell r="K36">
            <v>163.83</v>
          </cell>
          <cell r="O36">
            <v>7</v>
          </cell>
          <cell r="Q36">
            <v>171.08</v>
          </cell>
          <cell r="AC36">
            <v>16.98</v>
          </cell>
          <cell r="AM36">
            <v>2.5</v>
          </cell>
          <cell r="AQ36">
            <v>12.75</v>
          </cell>
          <cell r="AW36">
            <v>912166</v>
          </cell>
          <cell r="AX36">
            <v>912166</v>
          </cell>
          <cell r="BC36">
            <v>0</v>
          </cell>
          <cell r="BD36">
            <v>0</v>
          </cell>
        </row>
        <row r="37">
          <cell r="C37">
            <v>142.25</v>
          </cell>
          <cell r="K37">
            <v>98</v>
          </cell>
          <cell r="O37">
            <v>6.33</v>
          </cell>
          <cell r="Q37">
            <v>130.25</v>
          </cell>
          <cell r="AC37">
            <v>12.05</v>
          </cell>
          <cell r="AM37">
            <v>1.88</v>
          </cell>
          <cell r="AQ37">
            <v>10.21</v>
          </cell>
          <cell r="AW37">
            <v>888535</v>
          </cell>
          <cell r="AX37">
            <v>848534.99</v>
          </cell>
          <cell r="BC37">
            <v>30188</v>
          </cell>
          <cell r="BD37">
            <v>30188</v>
          </cell>
        </row>
        <row r="38">
          <cell r="C38">
            <v>101.25</v>
          </cell>
          <cell r="K38">
            <v>78.25</v>
          </cell>
          <cell r="O38">
            <v>4</v>
          </cell>
          <cell r="Q38">
            <v>91.66</v>
          </cell>
          <cell r="AC38">
            <v>10.6</v>
          </cell>
          <cell r="AM38">
            <v>1.28</v>
          </cell>
          <cell r="AQ38">
            <v>7.3</v>
          </cell>
          <cell r="AW38">
            <v>551892</v>
          </cell>
          <cell r="AX38">
            <v>551892</v>
          </cell>
          <cell r="BC38">
            <v>5063</v>
          </cell>
          <cell r="BD38">
            <v>5063</v>
          </cell>
        </row>
        <row r="39">
          <cell r="C39">
            <v>144</v>
          </cell>
          <cell r="K39">
            <v>99</v>
          </cell>
          <cell r="O39">
            <v>7</v>
          </cell>
          <cell r="Q39">
            <v>115</v>
          </cell>
          <cell r="AC39">
            <v>14.459999999999999</v>
          </cell>
          <cell r="AM39">
            <v>2</v>
          </cell>
          <cell r="AQ39">
            <v>9.71</v>
          </cell>
          <cell r="AW39">
            <v>837895</v>
          </cell>
          <cell r="AX39">
            <v>837895</v>
          </cell>
          <cell r="BC39">
            <v>0</v>
          </cell>
          <cell r="BD39">
            <v>0</v>
          </cell>
        </row>
        <row r="40">
          <cell r="C40">
            <v>102</v>
          </cell>
          <cell r="K40">
            <v>89</v>
          </cell>
          <cell r="O40">
            <v>4</v>
          </cell>
          <cell r="Q40">
            <v>102</v>
          </cell>
          <cell r="AC40">
            <v>9</v>
          </cell>
          <cell r="AM40">
            <v>1.75</v>
          </cell>
          <cell r="AQ40">
            <v>9.5</v>
          </cell>
          <cell r="AW40">
            <v>619787</v>
          </cell>
          <cell r="AX40">
            <v>619708.4</v>
          </cell>
          <cell r="BC40">
            <v>0</v>
          </cell>
          <cell r="BD40">
            <v>0</v>
          </cell>
        </row>
        <row r="41">
          <cell r="C41">
            <v>154.49</v>
          </cell>
          <cell r="K41">
            <v>147.33</v>
          </cell>
          <cell r="O41">
            <v>6.33</v>
          </cell>
          <cell r="Q41">
            <v>154.5</v>
          </cell>
          <cell r="AC41">
            <v>13.43</v>
          </cell>
          <cell r="AM41">
            <v>2.08</v>
          </cell>
          <cell r="AQ41">
            <v>12.46</v>
          </cell>
          <cell r="AW41">
            <v>765808</v>
          </cell>
          <cell r="AX41">
            <v>765808</v>
          </cell>
          <cell r="BC41">
            <v>0</v>
          </cell>
          <cell r="BD41">
            <v>0</v>
          </cell>
        </row>
        <row r="42">
          <cell r="C42">
            <v>91</v>
          </cell>
          <cell r="K42">
            <v>85</v>
          </cell>
          <cell r="O42">
            <v>30</v>
          </cell>
          <cell r="Q42">
            <v>91</v>
          </cell>
          <cell r="AC42">
            <v>9.42</v>
          </cell>
          <cell r="AM42">
            <v>1.83</v>
          </cell>
          <cell r="AQ42">
            <v>8</v>
          </cell>
          <cell r="AW42">
            <v>536556</v>
          </cell>
          <cell r="AX42">
            <v>536556</v>
          </cell>
          <cell r="BC42">
            <v>0</v>
          </cell>
          <cell r="BD42">
            <v>0</v>
          </cell>
        </row>
        <row r="43">
          <cell r="C43">
            <v>86</v>
          </cell>
          <cell r="K43">
            <v>71</v>
          </cell>
          <cell r="O43">
            <v>4</v>
          </cell>
          <cell r="Q43">
            <v>86</v>
          </cell>
          <cell r="AC43">
            <v>9.290000000000001</v>
          </cell>
          <cell r="AM43">
            <v>1.73</v>
          </cell>
          <cell r="AQ43">
            <v>7.54</v>
          </cell>
          <cell r="AW43">
            <v>541737</v>
          </cell>
          <cell r="AX43">
            <v>541734.94</v>
          </cell>
          <cell r="BC43">
            <v>4000</v>
          </cell>
          <cell r="BD43">
            <v>3997.94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pane xSplit="2" ySplit="4" topLeftCell="C5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I40" sqref="I40"/>
    </sheetView>
  </sheetViews>
  <sheetFormatPr defaultColWidth="9.00390625" defaultRowHeight="12.75"/>
  <cols>
    <col min="1" max="1" width="12.75390625" style="0" customWidth="1"/>
    <col min="2" max="2" width="5.25390625" style="0" customWidth="1"/>
    <col min="3" max="3" width="11.00390625" style="0" customWidth="1"/>
    <col min="4" max="4" width="6.75390625" style="0" customWidth="1"/>
    <col min="5" max="5" width="9.00390625" style="95" customWidth="1"/>
    <col min="6" max="6" width="11.25390625" style="99" customWidth="1"/>
    <col min="7" max="7" width="6.625" style="165" customWidth="1"/>
    <col min="8" max="8" width="8.875" style="93" customWidth="1"/>
    <col min="9" max="9" width="8.00390625" style="0" customWidth="1"/>
    <col min="10" max="12" width="7.875" style="0" customWidth="1"/>
    <col min="13" max="13" width="8.00390625" style="0" customWidth="1"/>
    <col min="14" max="14" width="8.375" style="0" customWidth="1"/>
    <col min="15" max="15" width="6.625" style="0" customWidth="1"/>
    <col min="16" max="16" width="5.75390625" style="0" customWidth="1"/>
    <col min="17" max="17" width="8.75390625" style="0" customWidth="1"/>
  </cols>
  <sheetData>
    <row r="1" spans="1:17" ht="12.75">
      <c r="A1" s="73"/>
      <c r="B1" s="73"/>
      <c r="C1" s="73"/>
      <c r="D1" s="73"/>
      <c r="E1" s="74"/>
      <c r="F1" s="75"/>
      <c r="G1" s="163"/>
      <c r="H1" s="76"/>
      <c r="I1" s="73"/>
      <c r="J1" s="73"/>
      <c r="K1" s="73"/>
      <c r="L1" s="73"/>
      <c r="M1" s="73"/>
      <c r="N1" s="73"/>
      <c r="O1" s="73"/>
      <c r="P1" s="73"/>
      <c r="Q1" s="32" t="s">
        <v>241</v>
      </c>
    </row>
    <row r="2" spans="1:17" s="78" customFormat="1" ht="15">
      <c r="A2" s="263" t="s">
        <v>230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1:17" ht="21" customHeight="1">
      <c r="A3" s="77" t="s">
        <v>100</v>
      </c>
      <c r="B3" s="73"/>
      <c r="C3" s="73"/>
      <c r="D3" s="73"/>
      <c r="E3" s="74"/>
      <c r="F3" s="75"/>
      <c r="G3" s="163"/>
      <c r="H3" s="76"/>
      <c r="I3" s="73"/>
      <c r="J3" s="73"/>
      <c r="K3" s="73"/>
      <c r="L3" s="73"/>
      <c r="M3" s="73"/>
      <c r="N3" s="73"/>
      <c r="O3" s="73"/>
      <c r="P3" s="73"/>
      <c r="Q3" s="73"/>
    </row>
    <row r="4" spans="1:17" ht="32.25">
      <c r="A4" s="167" t="s">
        <v>234</v>
      </c>
      <c r="B4" s="167" t="s">
        <v>235</v>
      </c>
      <c r="C4" s="167" t="s">
        <v>236</v>
      </c>
      <c r="D4" s="167" t="s">
        <v>237</v>
      </c>
      <c r="E4" s="167" t="s">
        <v>238</v>
      </c>
      <c r="F4" s="167" t="s">
        <v>239</v>
      </c>
      <c r="G4" s="168" t="s">
        <v>240</v>
      </c>
      <c r="H4" s="79" t="s">
        <v>39</v>
      </c>
      <c r="I4" s="166" t="s">
        <v>40</v>
      </c>
      <c r="J4" s="79" t="s">
        <v>41</v>
      </c>
      <c r="K4" s="79" t="s">
        <v>42</v>
      </c>
      <c r="L4" s="79" t="s">
        <v>104</v>
      </c>
      <c r="M4" s="79" t="s">
        <v>57</v>
      </c>
      <c r="N4" s="79" t="s">
        <v>105</v>
      </c>
      <c r="O4" s="79" t="s">
        <v>106</v>
      </c>
      <c r="P4" s="79" t="s">
        <v>89</v>
      </c>
      <c r="Q4" s="167" t="s">
        <v>233</v>
      </c>
    </row>
    <row r="5" spans="1:17" ht="12.75">
      <c r="A5" s="82" t="s">
        <v>107</v>
      </c>
      <c r="B5" s="81">
        <v>2</v>
      </c>
      <c r="C5" s="83">
        <v>34</v>
      </c>
      <c r="D5" s="83">
        <f aca="true" t="shared" si="0" ref="D5:D36">F5/12/C5</f>
        <v>1249</v>
      </c>
      <c r="E5" s="147">
        <v>522047</v>
      </c>
      <c r="F5" s="147">
        <v>509562</v>
      </c>
      <c r="G5" s="169">
        <f>F5/E5</f>
        <v>0.976</v>
      </c>
      <c r="H5" s="84">
        <v>235328</v>
      </c>
      <c r="I5" s="156">
        <v>17094</v>
      </c>
      <c r="J5" s="84">
        <v>38389</v>
      </c>
      <c r="K5" s="84">
        <v>5949</v>
      </c>
      <c r="L5" s="84">
        <v>20722</v>
      </c>
      <c r="M5" s="84">
        <v>172500</v>
      </c>
      <c r="N5" s="84">
        <v>11973</v>
      </c>
      <c r="O5" s="84"/>
      <c r="P5" s="84"/>
      <c r="Q5" s="84">
        <f>F5-(SUM(H5:P5))</f>
        <v>7607</v>
      </c>
    </row>
    <row r="6" spans="1:17" ht="12.75">
      <c r="A6" s="82" t="s">
        <v>108</v>
      </c>
      <c r="B6" s="81">
        <v>6</v>
      </c>
      <c r="C6" s="83">
        <v>680</v>
      </c>
      <c r="D6" s="83">
        <f t="shared" si="0"/>
        <v>352</v>
      </c>
      <c r="E6" s="147">
        <v>2938958</v>
      </c>
      <c r="F6" s="147">
        <v>2875697</v>
      </c>
      <c r="G6" s="169">
        <f aca="true" t="shared" si="1" ref="G6:G35">F6/E6</f>
        <v>0.978</v>
      </c>
      <c r="H6" s="84">
        <v>1896671</v>
      </c>
      <c r="I6" s="156">
        <v>139092</v>
      </c>
      <c r="J6" s="84">
        <v>324790</v>
      </c>
      <c r="K6" s="84">
        <v>43724</v>
      </c>
      <c r="L6" s="84">
        <v>154151</v>
      </c>
      <c r="M6" s="84">
        <v>147594</v>
      </c>
      <c r="N6" s="84">
        <v>112759</v>
      </c>
      <c r="O6" s="84"/>
      <c r="P6" s="84"/>
      <c r="Q6" s="84">
        <f aca="true" t="shared" si="2" ref="Q6:Q35">F6-(SUM(H6:P6))</f>
        <v>56916</v>
      </c>
    </row>
    <row r="7" spans="1:17" ht="12.75">
      <c r="A7" s="82" t="s">
        <v>109</v>
      </c>
      <c r="B7" s="81">
        <v>8</v>
      </c>
      <c r="C7" s="83">
        <v>248</v>
      </c>
      <c r="D7" s="83">
        <f t="shared" si="0"/>
        <v>432</v>
      </c>
      <c r="E7" s="147">
        <v>1299095</v>
      </c>
      <c r="F7" s="147">
        <v>1284945</v>
      </c>
      <c r="G7" s="169">
        <f t="shared" si="1"/>
        <v>0.989</v>
      </c>
      <c r="H7" s="84">
        <v>934363</v>
      </c>
      <c r="I7" s="156">
        <v>66255</v>
      </c>
      <c r="J7" s="84">
        <v>113709</v>
      </c>
      <c r="K7" s="84">
        <v>22160</v>
      </c>
      <c r="L7" s="84">
        <v>71608</v>
      </c>
      <c r="M7" s="84"/>
      <c r="N7" s="84">
        <v>53026</v>
      </c>
      <c r="O7" s="84"/>
      <c r="P7" s="84"/>
      <c r="Q7" s="84">
        <f t="shared" si="2"/>
        <v>23824</v>
      </c>
    </row>
    <row r="8" spans="1:17" ht="12.75">
      <c r="A8" s="82" t="s">
        <v>110</v>
      </c>
      <c r="B8" s="81">
        <v>10</v>
      </c>
      <c r="C8" s="83">
        <v>617</v>
      </c>
      <c r="D8" s="83">
        <f t="shared" si="0"/>
        <v>470</v>
      </c>
      <c r="E8" s="147">
        <v>3492506</v>
      </c>
      <c r="F8" s="147">
        <v>3476545</v>
      </c>
      <c r="G8" s="169">
        <f t="shared" si="1"/>
        <v>0.995</v>
      </c>
      <c r="H8" s="84">
        <v>2232745</v>
      </c>
      <c r="I8" s="156">
        <v>164995</v>
      </c>
      <c r="J8" s="84">
        <v>384934</v>
      </c>
      <c r="K8" s="84">
        <v>54336</v>
      </c>
      <c r="L8" s="84">
        <v>115111</v>
      </c>
      <c r="M8" s="84">
        <v>249999</v>
      </c>
      <c r="N8" s="84">
        <v>132336</v>
      </c>
      <c r="O8" s="84">
        <v>30000</v>
      </c>
      <c r="P8" s="84">
        <v>21500</v>
      </c>
      <c r="Q8" s="84">
        <f t="shared" si="2"/>
        <v>90589</v>
      </c>
    </row>
    <row r="9" spans="1:17" ht="12.75">
      <c r="A9" s="82" t="s">
        <v>111</v>
      </c>
      <c r="B9" s="81">
        <v>11</v>
      </c>
      <c r="C9" s="83">
        <v>213</v>
      </c>
      <c r="D9" s="83">
        <f t="shared" si="0"/>
        <v>481</v>
      </c>
      <c r="E9" s="147">
        <v>1239211</v>
      </c>
      <c r="F9" s="147">
        <v>1229898</v>
      </c>
      <c r="G9" s="169">
        <f t="shared" si="1"/>
        <v>0.992</v>
      </c>
      <c r="H9" s="84">
        <v>745235</v>
      </c>
      <c r="I9" s="156">
        <v>51491</v>
      </c>
      <c r="J9" s="84">
        <v>129717</v>
      </c>
      <c r="K9" s="84">
        <v>18474</v>
      </c>
      <c r="L9" s="84">
        <v>91690</v>
      </c>
      <c r="M9" s="84">
        <v>99072</v>
      </c>
      <c r="N9" s="84">
        <v>42368</v>
      </c>
      <c r="O9" s="84">
        <v>3993</v>
      </c>
      <c r="P9" s="84"/>
      <c r="Q9" s="84">
        <f t="shared" si="2"/>
        <v>47858</v>
      </c>
    </row>
    <row r="10" spans="1:17" ht="12.75">
      <c r="A10" s="82" t="s">
        <v>112</v>
      </c>
      <c r="B10" s="81">
        <v>12</v>
      </c>
      <c r="C10" s="83">
        <v>528</v>
      </c>
      <c r="D10" s="83">
        <f t="shared" si="0"/>
        <v>368</v>
      </c>
      <c r="E10" s="147">
        <v>2372312</v>
      </c>
      <c r="F10" s="147">
        <v>2330214</v>
      </c>
      <c r="G10" s="169">
        <f t="shared" si="1"/>
        <v>0.982</v>
      </c>
      <c r="H10" s="84">
        <v>1440184</v>
      </c>
      <c r="I10" s="156">
        <v>97320</v>
      </c>
      <c r="J10" s="84">
        <f>254951+287</f>
        <v>255238</v>
      </c>
      <c r="K10" s="84">
        <f>36246+41</f>
        <v>36287</v>
      </c>
      <c r="L10" s="84">
        <v>96097</v>
      </c>
      <c r="M10" s="84">
        <f>281044+3794</f>
        <v>284838</v>
      </c>
      <c r="N10" s="84">
        <v>83529</v>
      </c>
      <c r="O10" s="84"/>
      <c r="P10" s="84"/>
      <c r="Q10" s="84">
        <f t="shared" si="2"/>
        <v>36721</v>
      </c>
    </row>
    <row r="11" spans="1:17" ht="12.75">
      <c r="A11" s="82" t="s">
        <v>113</v>
      </c>
      <c r="B11" s="81">
        <v>13</v>
      </c>
      <c r="C11" s="83">
        <v>270</v>
      </c>
      <c r="D11" s="83">
        <f t="shared" si="0"/>
        <v>564</v>
      </c>
      <c r="E11" s="147">
        <v>1830665</v>
      </c>
      <c r="F11" s="147">
        <v>1827900</v>
      </c>
      <c r="G11" s="169">
        <f t="shared" si="1"/>
        <v>0.998</v>
      </c>
      <c r="H11" s="84">
        <v>1199959</v>
      </c>
      <c r="I11" s="156">
        <v>79131</v>
      </c>
      <c r="J11" s="84">
        <v>204673</v>
      </c>
      <c r="K11" s="84">
        <v>28579</v>
      </c>
      <c r="L11" s="84">
        <v>106447</v>
      </c>
      <c r="M11" s="84">
        <v>123024</v>
      </c>
      <c r="N11" s="84">
        <v>65778</v>
      </c>
      <c r="O11" s="84"/>
      <c r="P11" s="84"/>
      <c r="Q11" s="84">
        <f t="shared" si="2"/>
        <v>20309</v>
      </c>
    </row>
    <row r="12" spans="1:17" ht="12.75">
      <c r="A12" s="82" t="s">
        <v>114</v>
      </c>
      <c r="B12" s="81">
        <v>14</v>
      </c>
      <c r="C12" s="83">
        <v>164</v>
      </c>
      <c r="D12" s="83">
        <f t="shared" si="0"/>
        <v>581</v>
      </c>
      <c r="E12" s="147">
        <v>1148900</v>
      </c>
      <c r="F12" s="147">
        <v>1142933</v>
      </c>
      <c r="G12" s="169">
        <f t="shared" si="1"/>
        <v>0.995</v>
      </c>
      <c r="H12" s="84">
        <v>668554</v>
      </c>
      <c r="I12" s="156">
        <v>45912</v>
      </c>
      <c r="J12" s="84">
        <v>122225</v>
      </c>
      <c r="K12" s="84">
        <v>17113</v>
      </c>
      <c r="L12" s="84">
        <v>122602</v>
      </c>
      <c r="M12" s="84">
        <v>7647</v>
      </c>
      <c r="N12" s="84">
        <v>41359</v>
      </c>
      <c r="O12" s="84"/>
      <c r="P12" s="84">
        <v>3600</v>
      </c>
      <c r="Q12" s="84">
        <f t="shared" si="2"/>
        <v>113921</v>
      </c>
    </row>
    <row r="13" spans="1:17" ht="12.75">
      <c r="A13" s="82" t="s">
        <v>115</v>
      </c>
      <c r="B13" s="81">
        <v>16</v>
      </c>
      <c r="C13" s="83">
        <v>377</v>
      </c>
      <c r="D13" s="83">
        <f t="shared" si="0"/>
        <v>471</v>
      </c>
      <c r="E13" s="147">
        <v>2144418</v>
      </c>
      <c r="F13" s="147">
        <v>2129805</v>
      </c>
      <c r="G13" s="169">
        <f t="shared" si="1"/>
        <v>0.993</v>
      </c>
      <c r="H13" s="84">
        <v>1314401</v>
      </c>
      <c r="I13" s="156">
        <v>97074</v>
      </c>
      <c r="J13" s="84">
        <v>228958</v>
      </c>
      <c r="K13" s="84">
        <v>31876</v>
      </c>
      <c r="L13" s="84">
        <v>121020</v>
      </c>
      <c r="M13" s="84">
        <v>203500</v>
      </c>
      <c r="N13" s="84">
        <v>72455</v>
      </c>
      <c r="O13" s="84"/>
      <c r="P13" s="84"/>
      <c r="Q13" s="84">
        <f t="shared" si="2"/>
        <v>60521</v>
      </c>
    </row>
    <row r="14" spans="1:17" ht="12.75">
      <c r="A14" s="82" t="s">
        <v>116</v>
      </c>
      <c r="B14" s="81">
        <v>17</v>
      </c>
      <c r="C14" s="83">
        <v>437</v>
      </c>
      <c r="D14" s="83">
        <f t="shared" si="0"/>
        <v>368</v>
      </c>
      <c r="E14" s="147">
        <v>1937425</v>
      </c>
      <c r="F14" s="147">
        <v>1930145</v>
      </c>
      <c r="G14" s="169">
        <f t="shared" si="1"/>
        <v>0.996</v>
      </c>
      <c r="H14" s="84">
        <v>1358709</v>
      </c>
      <c r="I14" s="156">
        <v>102177</v>
      </c>
      <c r="J14" s="84">
        <v>238539</v>
      </c>
      <c r="K14" s="84">
        <v>32707</v>
      </c>
      <c r="L14" s="84">
        <v>88754</v>
      </c>
      <c r="M14" s="84"/>
      <c r="N14" s="84">
        <v>74802</v>
      </c>
      <c r="O14" s="84"/>
      <c r="P14" s="84"/>
      <c r="Q14" s="84">
        <f t="shared" si="2"/>
        <v>34457</v>
      </c>
    </row>
    <row r="15" spans="1:17" ht="12.75">
      <c r="A15" s="82" t="s">
        <v>117</v>
      </c>
      <c r="B15" s="81">
        <v>18</v>
      </c>
      <c r="C15" s="83">
        <v>802</v>
      </c>
      <c r="D15" s="83">
        <f t="shared" si="0"/>
        <v>306</v>
      </c>
      <c r="E15" s="147">
        <f>2952085+10869</f>
        <v>2962954</v>
      </c>
      <c r="F15" s="147">
        <f>2934768+9886</f>
        <v>2944654</v>
      </c>
      <c r="G15" s="169">
        <f t="shared" si="1"/>
        <v>0.994</v>
      </c>
      <c r="H15" s="84">
        <v>2013689</v>
      </c>
      <c r="I15" s="156">
        <v>153356</v>
      </c>
      <c r="J15" s="84">
        <v>346689</v>
      </c>
      <c r="K15" s="84">
        <v>49032</v>
      </c>
      <c r="L15" s="84">
        <v>101005</v>
      </c>
      <c r="M15" s="84">
        <v>81800</v>
      </c>
      <c r="N15" s="84">
        <v>118941</v>
      </c>
      <c r="O15" s="84"/>
      <c r="P15" s="84"/>
      <c r="Q15" s="84">
        <f t="shared" si="2"/>
        <v>80142</v>
      </c>
    </row>
    <row r="16" spans="1:17" ht="12.75">
      <c r="A16" s="82" t="s">
        <v>118</v>
      </c>
      <c r="B16" s="81">
        <v>20</v>
      </c>
      <c r="C16" s="83">
        <v>470</v>
      </c>
      <c r="D16" s="83">
        <f t="shared" si="0"/>
        <v>345</v>
      </c>
      <c r="E16" s="147">
        <v>1960903</v>
      </c>
      <c r="F16" s="147">
        <v>1943930</v>
      </c>
      <c r="G16" s="169">
        <f t="shared" si="1"/>
        <v>0.991</v>
      </c>
      <c r="H16" s="84">
        <v>1242622</v>
      </c>
      <c r="I16" s="156">
        <v>87685</v>
      </c>
      <c r="J16" s="84">
        <v>223545</v>
      </c>
      <c r="K16" s="84">
        <v>31492</v>
      </c>
      <c r="L16" s="84">
        <v>68314</v>
      </c>
      <c r="M16" s="84">
        <v>171600</v>
      </c>
      <c r="N16" s="84">
        <v>75301</v>
      </c>
      <c r="O16" s="84"/>
      <c r="P16" s="84"/>
      <c r="Q16" s="84">
        <f t="shared" si="2"/>
        <v>43371</v>
      </c>
    </row>
    <row r="17" spans="1:17" ht="12.75">
      <c r="A17" s="82" t="s">
        <v>119</v>
      </c>
      <c r="B17" s="81">
        <v>21</v>
      </c>
      <c r="C17" s="83">
        <v>456</v>
      </c>
      <c r="D17" s="83">
        <f t="shared" si="0"/>
        <v>412</v>
      </c>
      <c r="E17" s="147">
        <v>2284070</v>
      </c>
      <c r="F17" s="147">
        <v>2252917</v>
      </c>
      <c r="G17" s="169">
        <f t="shared" si="1"/>
        <v>0.986</v>
      </c>
      <c r="H17" s="84">
        <v>1490579</v>
      </c>
      <c r="I17" s="156">
        <v>113915</v>
      </c>
      <c r="J17" s="84">
        <v>233147</v>
      </c>
      <c r="K17" s="84">
        <v>32782</v>
      </c>
      <c r="L17" s="84">
        <v>124857</v>
      </c>
      <c r="M17" s="84">
        <v>116147</v>
      </c>
      <c r="N17" s="84">
        <v>79783</v>
      </c>
      <c r="O17" s="84"/>
      <c r="P17" s="84"/>
      <c r="Q17" s="84">
        <f t="shared" si="2"/>
        <v>61707</v>
      </c>
    </row>
    <row r="18" spans="1:17" ht="12.75">
      <c r="A18" s="82" t="s">
        <v>120</v>
      </c>
      <c r="B18" s="81">
        <v>23</v>
      </c>
      <c r="C18" s="83">
        <v>313</v>
      </c>
      <c r="D18" s="83">
        <f t="shared" si="0"/>
        <v>518</v>
      </c>
      <c r="E18" s="147">
        <v>1951357</v>
      </c>
      <c r="F18" s="147">
        <v>1947455</v>
      </c>
      <c r="G18" s="169">
        <f t="shared" si="1"/>
        <v>0.998</v>
      </c>
      <c r="H18" s="84">
        <v>1251292</v>
      </c>
      <c r="I18" s="156">
        <v>86959</v>
      </c>
      <c r="J18" s="84">
        <v>223025</v>
      </c>
      <c r="K18" s="84">
        <v>31271</v>
      </c>
      <c r="L18" s="84">
        <v>129408</v>
      </c>
      <c r="M18" s="84">
        <v>135765</v>
      </c>
      <c r="N18" s="84">
        <v>65648</v>
      </c>
      <c r="O18" s="84"/>
      <c r="P18" s="84"/>
      <c r="Q18" s="84">
        <f t="shared" si="2"/>
        <v>24087</v>
      </c>
    </row>
    <row r="19" spans="1:17" ht="12.75">
      <c r="A19" s="82" t="s">
        <v>121</v>
      </c>
      <c r="B19" s="81">
        <v>26</v>
      </c>
      <c r="C19" s="83">
        <v>237</v>
      </c>
      <c r="D19" s="83">
        <f t="shared" si="0"/>
        <v>542</v>
      </c>
      <c r="E19" s="147">
        <v>1548415</v>
      </c>
      <c r="F19" s="147">
        <v>1540313</v>
      </c>
      <c r="G19" s="169">
        <f t="shared" si="1"/>
        <v>0.995</v>
      </c>
      <c r="H19" s="84">
        <v>1066977</v>
      </c>
      <c r="I19" s="156">
        <v>79040</v>
      </c>
      <c r="J19" s="84">
        <v>184368</v>
      </c>
      <c r="K19" s="84">
        <v>26249</v>
      </c>
      <c r="L19" s="84">
        <v>90738</v>
      </c>
      <c r="M19" s="84">
        <v>998</v>
      </c>
      <c r="N19" s="84">
        <v>61928</v>
      </c>
      <c r="O19" s="84"/>
      <c r="P19" s="84"/>
      <c r="Q19" s="84">
        <f t="shared" si="2"/>
        <v>30015</v>
      </c>
    </row>
    <row r="20" spans="1:17" ht="12.75">
      <c r="A20" s="82" t="s">
        <v>122</v>
      </c>
      <c r="B20" s="81">
        <v>28</v>
      </c>
      <c r="C20" s="83">
        <v>252</v>
      </c>
      <c r="D20" s="83">
        <f t="shared" si="0"/>
        <v>649</v>
      </c>
      <c r="E20" s="147">
        <v>2003193</v>
      </c>
      <c r="F20" s="147">
        <v>1964080</v>
      </c>
      <c r="G20" s="169">
        <f t="shared" si="1"/>
        <v>0.98</v>
      </c>
      <c r="H20" s="84">
        <v>1349290</v>
      </c>
      <c r="I20" s="156">
        <v>95103</v>
      </c>
      <c r="J20" s="84">
        <v>232210</v>
      </c>
      <c r="K20" s="84">
        <v>32326</v>
      </c>
      <c r="L20" s="84">
        <v>88610</v>
      </c>
      <c r="M20" s="84">
        <v>57968</v>
      </c>
      <c r="N20" s="84">
        <v>78733</v>
      </c>
      <c r="O20" s="84"/>
      <c r="P20" s="84"/>
      <c r="Q20" s="84">
        <f t="shared" si="2"/>
        <v>29840</v>
      </c>
    </row>
    <row r="21" spans="1:17" ht="12.75">
      <c r="A21" s="82" t="s">
        <v>123</v>
      </c>
      <c r="B21" s="81">
        <v>29</v>
      </c>
      <c r="C21" s="83">
        <v>381</v>
      </c>
      <c r="D21" s="83">
        <f t="shared" si="0"/>
        <v>436</v>
      </c>
      <c r="E21" s="147">
        <v>1996128</v>
      </c>
      <c r="F21" s="147">
        <v>1992072</v>
      </c>
      <c r="G21" s="169">
        <f t="shared" si="1"/>
        <v>0.998</v>
      </c>
      <c r="H21" s="84">
        <v>1328400</v>
      </c>
      <c r="I21" s="156">
        <v>95290</v>
      </c>
      <c r="J21" s="84">
        <v>222113</v>
      </c>
      <c r="K21" s="84">
        <v>31761</v>
      </c>
      <c r="L21" s="84">
        <v>114640</v>
      </c>
      <c r="M21" s="84">
        <v>32447</v>
      </c>
      <c r="N21" s="84">
        <v>75843</v>
      </c>
      <c r="O21" s="84">
        <v>58140</v>
      </c>
      <c r="P21" s="84"/>
      <c r="Q21" s="84">
        <f t="shared" si="2"/>
        <v>33438</v>
      </c>
    </row>
    <row r="22" spans="1:17" ht="12.75">
      <c r="A22" s="82" t="s">
        <v>124</v>
      </c>
      <c r="B22" s="81">
        <v>31</v>
      </c>
      <c r="C22" s="83">
        <v>723</v>
      </c>
      <c r="D22" s="83">
        <f t="shared" si="0"/>
        <v>368</v>
      </c>
      <c r="E22" s="147">
        <v>3322328</v>
      </c>
      <c r="F22" s="147">
        <f>3191663</f>
        <v>3191663</v>
      </c>
      <c r="G22" s="169">
        <f t="shared" si="1"/>
        <v>0.961</v>
      </c>
      <c r="H22" s="84">
        <v>2091930</v>
      </c>
      <c r="I22" s="156">
        <v>150741</v>
      </c>
      <c r="J22" s="84">
        <v>357501</v>
      </c>
      <c r="K22" s="84">
        <v>48836</v>
      </c>
      <c r="L22" s="84">
        <f>224371+714</f>
        <v>225085</v>
      </c>
      <c r="M22" s="84">
        <v>143867</v>
      </c>
      <c r="N22" s="84">
        <v>122711</v>
      </c>
      <c r="O22" s="84"/>
      <c r="P22" s="84"/>
      <c r="Q22" s="84">
        <f t="shared" si="2"/>
        <v>50992</v>
      </c>
    </row>
    <row r="23" spans="1:17" ht="12.75">
      <c r="A23" s="82" t="s">
        <v>125</v>
      </c>
      <c r="B23" s="81">
        <v>33</v>
      </c>
      <c r="C23" s="83">
        <v>652</v>
      </c>
      <c r="D23" s="83">
        <f t="shared" si="0"/>
        <v>388</v>
      </c>
      <c r="E23" s="147">
        <v>3041522</v>
      </c>
      <c r="F23" s="147">
        <v>3032811</v>
      </c>
      <c r="G23" s="169">
        <f t="shared" si="1"/>
        <v>0.997</v>
      </c>
      <c r="H23" s="84">
        <v>1941473</v>
      </c>
      <c r="I23" s="156">
        <v>141187</v>
      </c>
      <c r="J23" s="84">
        <v>330648</v>
      </c>
      <c r="K23" s="84">
        <v>45847</v>
      </c>
      <c r="L23" s="84">
        <v>183729</v>
      </c>
      <c r="M23" s="84">
        <f>167000+3000</f>
        <v>170000</v>
      </c>
      <c r="N23" s="84">
        <v>103291</v>
      </c>
      <c r="O23" s="84">
        <v>45964</v>
      </c>
      <c r="P23" s="84"/>
      <c r="Q23" s="84">
        <f t="shared" si="2"/>
        <v>70672</v>
      </c>
    </row>
    <row r="24" spans="1:17" ht="12.75">
      <c r="A24" s="82" t="s">
        <v>126</v>
      </c>
      <c r="B24" s="81">
        <v>34</v>
      </c>
      <c r="C24" s="83">
        <v>248</v>
      </c>
      <c r="D24" s="83">
        <f t="shared" si="0"/>
        <v>727</v>
      </c>
      <c r="E24" s="147">
        <v>2199558</v>
      </c>
      <c r="F24" s="147">
        <v>2162331</v>
      </c>
      <c r="G24" s="169">
        <f t="shared" si="1"/>
        <v>0.983</v>
      </c>
      <c r="H24" s="84">
        <v>1400114</v>
      </c>
      <c r="I24" s="156">
        <v>101941</v>
      </c>
      <c r="J24" s="84">
        <v>248550</v>
      </c>
      <c r="K24" s="84">
        <v>34543</v>
      </c>
      <c r="L24" s="84">
        <v>133024</v>
      </c>
      <c r="M24" s="84">
        <v>109498</v>
      </c>
      <c r="N24" s="84">
        <v>81737</v>
      </c>
      <c r="O24" s="84"/>
      <c r="P24" s="84"/>
      <c r="Q24" s="84">
        <f t="shared" si="2"/>
        <v>52924</v>
      </c>
    </row>
    <row r="25" spans="1:17" ht="12.75">
      <c r="A25" s="82" t="s">
        <v>127</v>
      </c>
      <c r="B25" s="81">
        <v>35</v>
      </c>
      <c r="C25" s="83">
        <v>339</v>
      </c>
      <c r="D25" s="83">
        <f t="shared" si="0"/>
        <v>522</v>
      </c>
      <c r="E25" s="147">
        <v>2151065</v>
      </c>
      <c r="F25" s="147">
        <v>2124656</v>
      </c>
      <c r="G25" s="169">
        <f t="shared" si="1"/>
        <v>0.988</v>
      </c>
      <c r="H25" s="84">
        <v>1334984</v>
      </c>
      <c r="I25" s="156">
        <v>101621</v>
      </c>
      <c r="J25" s="84">
        <v>219028</v>
      </c>
      <c r="K25" s="84">
        <v>31382</v>
      </c>
      <c r="L25" s="84">
        <v>122910</v>
      </c>
      <c r="M25" s="84">
        <v>189800</v>
      </c>
      <c r="N25" s="84">
        <v>81551</v>
      </c>
      <c r="O25" s="84"/>
      <c r="P25" s="84">
        <v>9999</v>
      </c>
      <c r="Q25" s="84">
        <f t="shared" si="2"/>
        <v>33381</v>
      </c>
    </row>
    <row r="26" spans="1:17" ht="12.75">
      <c r="A26" s="82" t="s">
        <v>128</v>
      </c>
      <c r="B26" s="81">
        <v>37</v>
      </c>
      <c r="C26" s="83">
        <v>111</v>
      </c>
      <c r="D26" s="83">
        <f t="shared" si="0"/>
        <v>776</v>
      </c>
      <c r="E26" s="147">
        <v>1044959</v>
      </c>
      <c r="F26" s="147">
        <v>1033534</v>
      </c>
      <c r="G26" s="169">
        <f t="shared" si="1"/>
        <v>0.989</v>
      </c>
      <c r="H26" s="84">
        <v>577887</v>
      </c>
      <c r="I26" s="156">
        <v>39141</v>
      </c>
      <c r="J26" s="84">
        <v>98393</v>
      </c>
      <c r="K26" s="84">
        <v>13918</v>
      </c>
      <c r="L26" s="84">
        <v>9902</v>
      </c>
      <c r="M26" s="84">
        <v>135996</v>
      </c>
      <c r="N26" s="84">
        <v>30555</v>
      </c>
      <c r="O26" s="84"/>
      <c r="P26" s="84"/>
      <c r="Q26" s="84">
        <f t="shared" si="2"/>
        <v>127742</v>
      </c>
    </row>
    <row r="27" spans="1:17" ht="12.75">
      <c r="A27" s="82" t="s">
        <v>129</v>
      </c>
      <c r="B27" s="81">
        <v>39</v>
      </c>
      <c r="C27" s="83">
        <v>669</v>
      </c>
      <c r="D27" s="83">
        <f t="shared" si="0"/>
        <v>425</v>
      </c>
      <c r="E27" s="147">
        <v>3414468</v>
      </c>
      <c r="F27" s="147">
        <v>3408434</v>
      </c>
      <c r="G27" s="169">
        <f t="shared" si="1"/>
        <v>0.998</v>
      </c>
      <c r="H27" s="84">
        <v>2180565</v>
      </c>
      <c r="I27" s="156">
        <v>153712</v>
      </c>
      <c r="J27" s="84">
        <v>383911</v>
      </c>
      <c r="K27" s="84">
        <v>53669</v>
      </c>
      <c r="L27" s="84">
        <v>240224</v>
      </c>
      <c r="M27" s="84">
        <v>216760</v>
      </c>
      <c r="N27" s="84">
        <v>117176</v>
      </c>
      <c r="O27" s="84"/>
      <c r="P27" s="84"/>
      <c r="Q27" s="84">
        <f t="shared" si="2"/>
        <v>62417</v>
      </c>
    </row>
    <row r="28" spans="1:17" ht="12.75">
      <c r="A28" s="82" t="s">
        <v>130</v>
      </c>
      <c r="B28" s="81">
        <v>40</v>
      </c>
      <c r="C28" s="83">
        <v>770</v>
      </c>
      <c r="D28" s="83">
        <f t="shared" si="0"/>
        <v>341</v>
      </c>
      <c r="E28" s="147">
        <v>3177361</v>
      </c>
      <c r="F28" s="147">
        <v>3154159</v>
      </c>
      <c r="G28" s="169">
        <f t="shared" si="1"/>
        <v>0.993</v>
      </c>
      <c r="H28" s="84">
        <v>2038956</v>
      </c>
      <c r="I28" s="156">
        <v>155540</v>
      </c>
      <c r="J28" s="84">
        <v>356942</v>
      </c>
      <c r="K28" s="84">
        <v>45391</v>
      </c>
      <c r="L28" s="84">
        <v>156156</v>
      </c>
      <c r="M28" s="84">
        <f>212448+1</f>
        <v>212449</v>
      </c>
      <c r="N28" s="84">
        <v>123774</v>
      </c>
      <c r="O28" s="84"/>
      <c r="P28" s="84"/>
      <c r="Q28" s="84">
        <f t="shared" si="2"/>
        <v>64951</v>
      </c>
    </row>
    <row r="29" spans="1:17" ht="12.75">
      <c r="A29" s="82" t="s">
        <v>131</v>
      </c>
      <c r="B29" s="81">
        <v>42</v>
      </c>
      <c r="C29" s="83">
        <v>370</v>
      </c>
      <c r="D29" s="83">
        <f t="shared" si="0"/>
        <v>442</v>
      </c>
      <c r="E29" s="147">
        <v>1984732</v>
      </c>
      <c r="F29" s="147">
        <v>1963950</v>
      </c>
      <c r="G29" s="169">
        <f t="shared" si="1"/>
        <v>0.99</v>
      </c>
      <c r="H29" s="84">
        <v>1187754</v>
      </c>
      <c r="I29" s="156">
        <v>87009</v>
      </c>
      <c r="J29" s="84">
        <v>205985</v>
      </c>
      <c r="K29" s="84">
        <v>28904</v>
      </c>
      <c r="L29" s="84">
        <v>302129</v>
      </c>
      <c r="M29" s="84">
        <v>50504</v>
      </c>
      <c r="N29" s="84">
        <v>73445</v>
      </c>
      <c r="O29" s="84"/>
      <c r="P29" s="84"/>
      <c r="Q29" s="84">
        <f t="shared" si="2"/>
        <v>28220</v>
      </c>
    </row>
    <row r="30" spans="1:17" ht="12.75">
      <c r="A30" s="82" t="s">
        <v>132</v>
      </c>
      <c r="B30" s="81">
        <v>43</v>
      </c>
      <c r="C30" s="83">
        <v>448</v>
      </c>
      <c r="D30" s="83">
        <f t="shared" si="0"/>
        <v>388</v>
      </c>
      <c r="E30" s="147">
        <v>2111894</v>
      </c>
      <c r="F30" s="147">
        <v>2087876</v>
      </c>
      <c r="G30" s="169">
        <f t="shared" si="1"/>
        <v>0.989</v>
      </c>
      <c r="H30" s="84">
        <v>1420352</v>
      </c>
      <c r="I30" s="156">
        <v>107015</v>
      </c>
      <c r="J30" s="84">
        <v>222944</v>
      </c>
      <c r="K30" s="84">
        <v>34923</v>
      </c>
      <c r="L30" s="84">
        <v>110927</v>
      </c>
      <c r="M30" s="84">
        <v>81487</v>
      </c>
      <c r="N30" s="84">
        <v>78496</v>
      </c>
      <c r="O30" s="84"/>
      <c r="P30" s="84"/>
      <c r="Q30" s="84">
        <f t="shared" si="2"/>
        <v>31732</v>
      </c>
    </row>
    <row r="31" spans="1:17" ht="12.75">
      <c r="A31" s="82" t="s">
        <v>133</v>
      </c>
      <c r="B31" s="81">
        <v>44</v>
      </c>
      <c r="C31" s="83">
        <v>157</v>
      </c>
      <c r="D31" s="83">
        <f t="shared" si="0"/>
        <v>511</v>
      </c>
      <c r="E31" s="147">
        <v>969784</v>
      </c>
      <c r="F31" s="147">
        <v>963360</v>
      </c>
      <c r="G31" s="169">
        <f t="shared" si="1"/>
        <v>0.993</v>
      </c>
      <c r="H31" s="84">
        <v>541730</v>
      </c>
      <c r="I31" s="156">
        <v>42381</v>
      </c>
      <c r="J31" s="84">
        <v>99433</v>
      </c>
      <c r="K31" s="84">
        <v>13935</v>
      </c>
      <c r="L31" s="84">
        <v>96437</v>
      </c>
      <c r="M31" s="84">
        <f>120294+1</f>
        <v>120295</v>
      </c>
      <c r="N31" s="84">
        <v>32814</v>
      </c>
      <c r="O31" s="84"/>
      <c r="P31" s="84"/>
      <c r="Q31" s="84">
        <f t="shared" si="2"/>
        <v>16335</v>
      </c>
    </row>
    <row r="32" spans="1:17" ht="12.75">
      <c r="A32" s="82" t="s">
        <v>134</v>
      </c>
      <c r="B32" s="81">
        <v>45</v>
      </c>
      <c r="C32" s="83">
        <v>217</v>
      </c>
      <c r="D32" s="83">
        <f t="shared" si="0"/>
        <v>502</v>
      </c>
      <c r="E32" s="147">
        <v>1320180</v>
      </c>
      <c r="F32" s="147">
        <v>1308410</v>
      </c>
      <c r="G32" s="169">
        <f t="shared" si="1"/>
        <v>0.991</v>
      </c>
      <c r="H32" s="84">
        <v>849536</v>
      </c>
      <c r="I32" s="156">
        <v>56859</v>
      </c>
      <c r="J32" s="84">
        <v>147269</v>
      </c>
      <c r="K32" s="84">
        <v>20626</v>
      </c>
      <c r="L32" s="84">
        <v>59689</v>
      </c>
      <c r="M32" s="84">
        <v>99857</v>
      </c>
      <c r="N32" s="84">
        <v>40010</v>
      </c>
      <c r="O32" s="84"/>
      <c r="P32" s="84"/>
      <c r="Q32" s="84">
        <f t="shared" si="2"/>
        <v>34564</v>
      </c>
    </row>
    <row r="33" spans="1:17" ht="12.75">
      <c r="A33" s="82" t="s">
        <v>135</v>
      </c>
      <c r="B33" s="81">
        <v>46</v>
      </c>
      <c r="C33" s="83">
        <v>485</v>
      </c>
      <c r="D33" s="83">
        <f t="shared" si="0"/>
        <v>353</v>
      </c>
      <c r="E33" s="147">
        <v>2054941</v>
      </c>
      <c r="F33" s="147">
        <v>2054923</v>
      </c>
      <c r="G33" s="169">
        <f t="shared" si="1"/>
        <v>1</v>
      </c>
      <c r="H33" s="84">
        <v>1386909</v>
      </c>
      <c r="I33" s="156">
        <v>103573</v>
      </c>
      <c r="J33" s="84">
        <v>240883</v>
      </c>
      <c r="K33" s="84">
        <v>33358</v>
      </c>
      <c r="L33" s="84">
        <v>160450</v>
      </c>
      <c r="M33" s="84">
        <v>3500</v>
      </c>
      <c r="N33" s="84">
        <v>82376</v>
      </c>
      <c r="O33" s="84"/>
      <c r="P33" s="84"/>
      <c r="Q33" s="84">
        <f t="shared" si="2"/>
        <v>43874</v>
      </c>
    </row>
    <row r="34" spans="1:17" ht="12.75">
      <c r="A34" s="82" t="s">
        <v>136</v>
      </c>
      <c r="B34" s="81">
        <v>47</v>
      </c>
      <c r="C34" s="83">
        <v>554</v>
      </c>
      <c r="D34" s="83">
        <f t="shared" si="0"/>
        <v>486</v>
      </c>
      <c r="E34" s="147">
        <f>3220357+17629</f>
        <v>3237986</v>
      </c>
      <c r="F34" s="147">
        <f>3215624+14360</f>
        <v>3229984</v>
      </c>
      <c r="G34" s="169">
        <f t="shared" si="1"/>
        <v>0.998</v>
      </c>
      <c r="H34" s="84">
        <v>2222482</v>
      </c>
      <c r="I34" s="156">
        <v>173515</v>
      </c>
      <c r="J34" s="84">
        <v>381644</v>
      </c>
      <c r="K34" s="84">
        <f>53856+1</f>
        <v>53857</v>
      </c>
      <c r="L34" s="84">
        <v>201086</v>
      </c>
      <c r="M34" s="84">
        <v>9211</v>
      </c>
      <c r="N34" s="84">
        <v>125700</v>
      </c>
      <c r="O34" s="84"/>
      <c r="P34" s="84">
        <v>8000</v>
      </c>
      <c r="Q34" s="84">
        <f t="shared" si="2"/>
        <v>54489</v>
      </c>
    </row>
    <row r="35" spans="1:17" ht="12.75">
      <c r="A35" s="82" t="s">
        <v>137</v>
      </c>
      <c r="B35" s="81">
        <v>48</v>
      </c>
      <c r="C35" s="83">
        <v>289</v>
      </c>
      <c r="D35" s="83">
        <f t="shared" si="0"/>
        <v>358</v>
      </c>
      <c r="E35" s="147">
        <v>1242006</v>
      </c>
      <c r="F35" s="147">
        <v>1241990</v>
      </c>
      <c r="G35" s="169">
        <f t="shared" si="1"/>
        <v>1</v>
      </c>
      <c r="H35" s="84">
        <v>784929</v>
      </c>
      <c r="I35" s="156">
        <v>58197</v>
      </c>
      <c r="J35" s="84">
        <v>134110</v>
      </c>
      <c r="K35" s="84">
        <v>20160</v>
      </c>
      <c r="L35" s="84">
        <v>162700</v>
      </c>
      <c r="M35" s="84">
        <v>2500</v>
      </c>
      <c r="N35" s="84">
        <v>50213</v>
      </c>
      <c r="O35" s="84"/>
      <c r="P35" s="84"/>
      <c r="Q35" s="84">
        <f t="shared" si="2"/>
        <v>29181</v>
      </c>
    </row>
    <row r="36" spans="1:17" s="88" customFormat="1" ht="12.75">
      <c r="A36" s="80" t="s">
        <v>46</v>
      </c>
      <c r="B36" s="85"/>
      <c r="C36" s="86">
        <f>SUM(C5:C35)</f>
        <v>12511</v>
      </c>
      <c r="D36" s="83">
        <f t="shared" si="0"/>
        <v>428</v>
      </c>
      <c r="E36" s="153">
        <f>SUM(E5:E35)</f>
        <v>64905341</v>
      </c>
      <c r="F36" s="153">
        <f>SUM(F5:F35)</f>
        <v>64281146</v>
      </c>
      <c r="G36" s="170">
        <f>F36/E36*100</f>
        <v>99.04</v>
      </c>
      <c r="H36" s="87">
        <f aca="true" t="shared" si="3" ref="H36:Q36">SUM(H5:H35)</f>
        <v>41728599</v>
      </c>
      <c r="I36" s="158">
        <f t="shared" si="3"/>
        <v>3044321</v>
      </c>
      <c r="J36" s="87">
        <f t="shared" si="3"/>
        <v>7133510</v>
      </c>
      <c r="K36" s="87">
        <f t="shared" si="3"/>
        <v>1005467</v>
      </c>
      <c r="L36" s="87">
        <f t="shared" si="3"/>
        <v>3870222</v>
      </c>
      <c r="M36" s="87">
        <f t="shared" si="3"/>
        <v>3430623</v>
      </c>
      <c r="N36" s="87">
        <f t="shared" si="3"/>
        <v>2390411</v>
      </c>
      <c r="O36" s="87">
        <f t="shared" si="3"/>
        <v>138097</v>
      </c>
      <c r="P36" s="87">
        <f t="shared" si="3"/>
        <v>43099</v>
      </c>
      <c r="Q36" s="87">
        <f t="shared" si="3"/>
        <v>1496797</v>
      </c>
    </row>
    <row r="37" spans="1:17" s="93" customFormat="1" ht="12.75">
      <c r="A37" s="89"/>
      <c r="B37" s="90"/>
      <c r="C37" s="90"/>
      <c r="D37" s="90"/>
      <c r="E37" s="91"/>
      <c r="F37" s="193"/>
      <c r="G37" s="164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6:12" ht="12.75">
      <c r="F38" s="92"/>
      <c r="L38" s="195"/>
    </row>
    <row r="39" ht="12.75">
      <c r="F39" s="92"/>
    </row>
    <row r="40" ht="12.75">
      <c r="F40" s="194"/>
    </row>
    <row r="41" ht="12.75">
      <c r="F41" s="192"/>
    </row>
  </sheetData>
  <mergeCells count="1">
    <mergeCell ref="A2:Q2"/>
  </mergeCells>
  <printOptions/>
  <pageMargins left="0.57" right="0" top="0.97" bottom="0.1968503937007874" header="0.93" footer="0.4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P2"/>
    </sheetView>
  </sheetViews>
  <sheetFormatPr defaultColWidth="9.00390625" defaultRowHeight="12.75"/>
  <cols>
    <col min="1" max="1" width="16.125" style="0" customWidth="1"/>
    <col min="2" max="2" width="7.25390625" style="0" customWidth="1"/>
    <col min="3" max="3" width="8.375" style="0" customWidth="1"/>
    <col min="4" max="4" width="8.25390625" style="0" customWidth="1"/>
    <col min="5" max="5" width="11.00390625" style="0" customWidth="1"/>
    <col min="6" max="6" width="10.875" style="0" customWidth="1"/>
    <col min="7" max="7" width="8.875" style="0" customWidth="1"/>
    <col min="8" max="8" width="7.875" style="0" customWidth="1"/>
    <col min="9" max="9" width="6.625" style="0" customWidth="1"/>
    <col min="10" max="10" width="6.75390625" style="0" customWidth="1"/>
    <col min="11" max="11" width="6.25390625" style="0" customWidth="1"/>
    <col min="12" max="12" width="6.875" style="0" customWidth="1"/>
    <col min="13" max="13" width="6.375" style="0" customWidth="1"/>
    <col min="14" max="14" width="8.00390625" style="0" customWidth="1"/>
    <col min="15" max="15" width="13.25390625" style="0" customWidth="1"/>
  </cols>
  <sheetData>
    <row r="1" spans="1:15" ht="12.75">
      <c r="A1" s="151"/>
      <c r="B1" s="102"/>
      <c r="C1" s="102"/>
      <c r="D1" s="102"/>
      <c r="E1" s="102"/>
      <c r="F1" s="102"/>
      <c r="G1" s="102"/>
      <c r="H1" s="149"/>
      <c r="I1" s="102"/>
      <c r="J1" s="102"/>
      <c r="K1" s="102"/>
      <c r="L1" s="102"/>
      <c r="M1" s="102"/>
      <c r="N1" s="102"/>
      <c r="O1" s="32" t="s">
        <v>242</v>
      </c>
    </row>
    <row r="2" spans="1:16" ht="33" customHeight="1">
      <c r="A2" s="264" t="s">
        <v>231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</row>
    <row r="3" spans="1:14" ht="15.75">
      <c r="A3" s="151"/>
      <c r="B3" s="104"/>
      <c r="C3" s="104"/>
      <c r="D3" s="104"/>
      <c r="E3" s="104"/>
      <c r="F3" s="104"/>
      <c r="G3" s="104"/>
      <c r="H3" s="108"/>
      <c r="I3" s="104"/>
      <c r="J3" s="104"/>
      <c r="K3" s="104"/>
      <c r="L3" s="102"/>
      <c r="M3" s="102"/>
      <c r="N3" s="102"/>
    </row>
    <row r="4" spans="1:14" ht="12.75">
      <c r="A4" s="77" t="s">
        <v>228</v>
      </c>
      <c r="B4" s="102"/>
      <c r="C4" s="102"/>
      <c r="D4" s="102"/>
      <c r="E4" s="102"/>
      <c r="F4" s="102"/>
      <c r="G4" s="102"/>
      <c r="H4" s="149"/>
      <c r="I4" s="102"/>
      <c r="J4" s="102"/>
      <c r="K4" s="102"/>
      <c r="L4" s="102"/>
      <c r="M4" s="102"/>
      <c r="N4" s="102"/>
    </row>
    <row r="5" spans="1:14" ht="12.75">
      <c r="A5" s="152"/>
      <c r="B5" s="102"/>
      <c r="C5" s="102"/>
      <c r="D5" s="102"/>
      <c r="E5" s="102"/>
      <c r="F5" s="102"/>
      <c r="G5" s="102"/>
      <c r="H5" s="149"/>
      <c r="I5" s="102"/>
      <c r="J5" s="102"/>
      <c r="K5" s="102"/>
      <c r="L5" s="102"/>
      <c r="M5" s="102"/>
      <c r="N5" s="102"/>
    </row>
    <row r="6" spans="1:15" s="175" customFormat="1" ht="31.5">
      <c r="A6" s="172" t="s">
        <v>234</v>
      </c>
      <c r="B6" s="172" t="s">
        <v>235</v>
      </c>
      <c r="C6" s="172" t="s">
        <v>236</v>
      </c>
      <c r="D6" s="172" t="s">
        <v>237</v>
      </c>
      <c r="E6" s="172" t="s">
        <v>238</v>
      </c>
      <c r="F6" s="172" t="s">
        <v>239</v>
      </c>
      <c r="G6" s="173" t="s">
        <v>240</v>
      </c>
      <c r="H6" s="174" t="s">
        <v>39</v>
      </c>
      <c r="I6" s="174" t="s">
        <v>40</v>
      </c>
      <c r="J6" s="174" t="s">
        <v>41</v>
      </c>
      <c r="K6" s="174" t="s">
        <v>42</v>
      </c>
      <c r="L6" s="174" t="s">
        <v>104</v>
      </c>
      <c r="M6" s="174" t="s">
        <v>57</v>
      </c>
      <c r="N6" s="174" t="s">
        <v>105</v>
      </c>
      <c r="O6" s="167" t="s">
        <v>233</v>
      </c>
    </row>
    <row r="7" spans="1:15" ht="12.75">
      <c r="A7" s="82" t="s">
        <v>110</v>
      </c>
      <c r="B7" s="154">
        <v>10</v>
      </c>
      <c r="C7" s="111">
        <v>64</v>
      </c>
      <c r="D7" s="111">
        <f aca="true" t="shared" si="0" ref="D7:D29">F7/12/C7</f>
        <v>263</v>
      </c>
      <c r="E7" s="147">
        <v>204257</v>
      </c>
      <c r="F7" s="147">
        <v>201847</v>
      </c>
      <c r="G7" s="171">
        <f>F7/E7</f>
        <v>0.988</v>
      </c>
      <c r="H7" s="155">
        <v>122885</v>
      </c>
      <c r="I7" s="156">
        <v>9313</v>
      </c>
      <c r="J7" s="84">
        <v>20073</v>
      </c>
      <c r="K7" s="84">
        <v>2864</v>
      </c>
      <c r="L7" s="84">
        <v>32570</v>
      </c>
      <c r="M7" s="84"/>
      <c r="N7" s="84">
        <v>8935</v>
      </c>
      <c r="O7" s="155">
        <f>F7-(SUM(H7:N7))</f>
        <v>5207</v>
      </c>
    </row>
    <row r="8" spans="1:15" ht="12.75">
      <c r="A8" s="82" t="s">
        <v>229</v>
      </c>
      <c r="B8" s="154">
        <v>11</v>
      </c>
      <c r="C8" s="111">
        <v>24</v>
      </c>
      <c r="D8" s="111">
        <f t="shared" si="0"/>
        <v>163</v>
      </c>
      <c r="E8" s="147">
        <v>47078</v>
      </c>
      <c r="F8" s="147">
        <v>46919</v>
      </c>
      <c r="G8" s="171">
        <f aca="true" t="shared" si="1" ref="G8:G29">F8/E8</f>
        <v>0.997</v>
      </c>
      <c r="H8" s="155">
        <v>32502</v>
      </c>
      <c r="I8" s="156">
        <v>2652</v>
      </c>
      <c r="J8" s="84">
        <v>6100</v>
      </c>
      <c r="K8" s="84">
        <v>910</v>
      </c>
      <c r="L8" s="84"/>
      <c r="M8" s="84"/>
      <c r="N8" s="84">
        <v>2259</v>
      </c>
      <c r="O8" s="155">
        <f aca="true" t="shared" si="2" ref="O8:O28">F8-(SUM(H8:N8))</f>
        <v>2496</v>
      </c>
    </row>
    <row r="9" spans="1:15" ht="12.75">
      <c r="A9" s="82" t="s">
        <v>112</v>
      </c>
      <c r="B9" s="154">
        <v>12</v>
      </c>
      <c r="C9" s="111">
        <v>54</v>
      </c>
      <c r="D9" s="111">
        <f t="shared" si="0"/>
        <v>162</v>
      </c>
      <c r="E9" s="147">
        <v>108725</v>
      </c>
      <c r="F9" s="147">
        <v>104989</v>
      </c>
      <c r="G9" s="171">
        <f t="shared" si="1"/>
        <v>0.966</v>
      </c>
      <c r="H9" s="84">
        <v>72797</v>
      </c>
      <c r="I9" s="156">
        <v>1861</v>
      </c>
      <c r="J9" s="84">
        <v>13098</v>
      </c>
      <c r="K9" s="84">
        <v>1797</v>
      </c>
      <c r="L9" s="84">
        <v>5462</v>
      </c>
      <c r="M9" s="84"/>
      <c r="N9" s="84">
        <v>6150</v>
      </c>
      <c r="O9" s="155">
        <f t="shared" si="2"/>
        <v>3824</v>
      </c>
    </row>
    <row r="10" spans="1:15" ht="12.75">
      <c r="A10" s="82" t="s">
        <v>113</v>
      </c>
      <c r="B10" s="154">
        <v>13</v>
      </c>
      <c r="C10" s="111">
        <v>35</v>
      </c>
      <c r="D10" s="111">
        <f t="shared" si="0"/>
        <v>196</v>
      </c>
      <c r="E10" s="147">
        <v>83864</v>
      </c>
      <c r="F10" s="147">
        <v>82200</v>
      </c>
      <c r="G10" s="171">
        <f t="shared" si="1"/>
        <v>0.98</v>
      </c>
      <c r="H10" s="84">
        <v>55520</v>
      </c>
      <c r="I10" s="156">
        <v>3170</v>
      </c>
      <c r="J10" s="84">
        <v>9789</v>
      </c>
      <c r="K10" s="84">
        <v>1434</v>
      </c>
      <c r="L10" s="84">
        <v>4433</v>
      </c>
      <c r="M10" s="84"/>
      <c r="N10" s="84">
        <v>4070</v>
      </c>
      <c r="O10" s="155">
        <f t="shared" si="2"/>
        <v>3784</v>
      </c>
    </row>
    <row r="11" spans="1:15" ht="12.75">
      <c r="A11" s="82" t="s">
        <v>115</v>
      </c>
      <c r="B11" s="154">
        <v>16</v>
      </c>
      <c r="C11" s="111">
        <v>45</v>
      </c>
      <c r="D11" s="111">
        <f t="shared" si="0"/>
        <v>150</v>
      </c>
      <c r="E11" s="147">
        <v>81875</v>
      </c>
      <c r="F11" s="147">
        <v>81063</v>
      </c>
      <c r="G11" s="171">
        <f t="shared" si="1"/>
        <v>0.99</v>
      </c>
      <c r="H11" s="155">
        <v>55214</v>
      </c>
      <c r="I11" s="84">
        <v>3071</v>
      </c>
      <c r="J11" s="84">
        <v>9512</v>
      </c>
      <c r="K11" s="84">
        <v>1396</v>
      </c>
      <c r="L11" s="84">
        <v>3000</v>
      </c>
      <c r="M11" s="84"/>
      <c r="N11" s="84">
        <v>4070</v>
      </c>
      <c r="O11" s="155">
        <f t="shared" si="2"/>
        <v>4800</v>
      </c>
    </row>
    <row r="12" spans="1:15" ht="12.75">
      <c r="A12" s="82" t="s">
        <v>116</v>
      </c>
      <c r="B12" s="154">
        <v>17</v>
      </c>
      <c r="C12" s="111">
        <v>62</v>
      </c>
      <c r="D12" s="111">
        <f t="shared" si="0"/>
        <v>176</v>
      </c>
      <c r="E12" s="147">
        <v>132690</v>
      </c>
      <c r="F12" s="147">
        <v>130851</v>
      </c>
      <c r="G12" s="171">
        <f t="shared" si="1"/>
        <v>0.986</v>
      </c>
      <c r="H12" s="84">
        <v>91698</v>
      </c>
      <c r="I12" s="84">
        <v>4514</v>
      </c>
      <c r="J12" s="84">
        <v>14361</v>
      </c>
      <c r="K12" s="84">
        <v>2015</v>
      </c>
      <c r="L12" s="84">
        <v>7045</v>
      </c>
      <c r="M12" s="84"/>
      <c r="N12" s="84">
        <v>6105</v>
      </c>
      <c r="O12" s="155">
        <f t="shared" si="2"/>
        <v>5113</v>
      </c>
    </row>
    <row r="13" spans="1:15" ht="12.75">
      <c r="A13" s="82" t="s">
        <v>118</v>
      </c>
      <c r="B13" s="154">
        <v>20</v>
      </c>
      <c r="C13" s="111">
        <v>43</v>
      </c>
      <c r="D13" s="111">
        <f t="shared" si="0"/>
        <v>162</v>
      </c>
      <c r="E13" s="147">
        <v>84894</v>
      </c>
      <c r="F13" s="147">
        <v>83427</v>
      </c>
      <c r="G13" s="171">
        <f t="shared" si="1"/>
        <v>0.983</v>
      </c>
      <c r="H13" s="84">
        <v>54975</v>
      </c>
      <c r="I13" s="84">
        <v>4555</v>
      </c>
      <c r="J13" s="84">
        <v>10915</v>
      </c>
      <c r="K13" s="84">
        <v>1399</v>
      </c>
      <c r="L13" s="84">
        <v>3350</v>
      </c>
      <c r="M13" s="84">
        <v>780</v>
      </c>
      <c r="N13" s="84">
        <v>4070</v>
      </c>
      <c r="O13" s="155">
        <f t="shared" si="2"/>
        <v>3383</v>
      </c>
    </row>
    <row r="14" spans="1:15" ht="12.75">
      <c r="A14" s="82" t="s">
        <v>119</v>
      </c>
      <c r="B14" s="154">
        <v>21</v>
      </c>
      <c r="C14" s="111">
        <v>28</v>
      </c>
      <c r="D14" s="111">
        <f t="shared" si="0"/>
        <v>135</v>
      </c>
      <c r="E14" s="147">
        <v>46004</v>
      </c>
      <c r="F14" s="147">
        <v>45489</v>
      </c>
      <c r="G14" s="171">
        <f t="shared" si="1"/>
        <v>0.989</v>
      </c>
      <c r="H14" s="84">
        <v>29626</v>
      </c>
      <c r="I14" s="84">
        <v>3475</v>
      </c>
      <c r="J14" s="84">
        <v>4882</v>
      </c>
      <c r="K14" s="84">
        <v>558</v>
      </c>
      <c r="L14" s="84">
        <v>2225</v>
      </c>
      <c r="M14" s="84">
        <v>500</v>
      </c>
      <c r="N14" s="84">
        <v>2035</v>
      </c>
      <c r="O14" s="155">
        <f t="shared" si="2"/>
        <v>2188</v>
      </c>
    </row>
    <row r="15" spans="1:15" ht="12.75">
      <c r="A15" s="82" t="s">
        <v>120</v>
      </c>
      <c r="B15" s="154">
        <v>23</v>
      </c>
      <c r="C15" s="111">
        <v>44</v>
      </c>
      <c r="D15" s="111">
        <f t="shared" si="0"/>
        <v>193</v>
      </c>
      <c r="E15" s="147">
        <v>102838</v>
      </c>
      <c r="F15" s="147">
        <v>101717</v>
      </c>
      <c r="G15" s="171">
        <f t="shared" si="1"/>
        <v>0.989</v>
      </c>
      <c r="H15" s="84">
        <v>71597</v>
      </c>
      <c r="I15" s="84">
        <v>4800</v>
      </c>
      <c r="J15" s="84">
        <v>12556</v>
      </c>
      <c r="K15" s="84">
        <v>1778</v>
      </c>
      <c r="L15" s="84">
        <v>2230</v>
      </c>
      <c r="M15" s="84"/>
      <c r="N15" s="84">
        <v>4253</v>
      </c>
      <c r="O15" s="155">
        <f t="shared" si="2"/>
        <v>4503</v>
      </c>
    </row>
    <row r="16" spans="1:15" ht="12.75">
      <c r="A16" s="82" t="s">
        <v>121</v>
      </c>
      <c r="B16" s="154">
        <v>26</v>
      </c>
      <c r="C16" s="111">
        <v>39</v>
      </c>
      <c r="D16" s="111">
        <f t="shared" si="0"/>
        <v>178</v>
      </c>
      <c r="E16" s="147">
        <v>84531</v>
      </c>
      <c r="F16" s="147">
        <v>83513</v>
      </c>
      <c r="G16" s="171">
        <f t="shared" si="1"/>
        <v>0.988</v>
      </c>
      <c r="H16" s="84">
        <v>56838</v>
      </c>
      <c r="I16" s="84">
        <v>4831</v>
      </c>
      <c r="J16" s="84">
        <v>10830</v>
      </c>
      <c r="K16" s="84">
        <v>1448</v>
      </c>
      <c r="L16" s="84">
        <v>1695</v>
      </c>
      <c r="M16" s="84"/>
      <c r="N16" s="84">
        <v>4070</v>
      </c>
      <c r="O16" s="155">
        <f t="shared" si="2"/>
        <v>3801</v>
      </c>
    </row>
    <row r="17" spans="1:15" ht="12.75">
      <c r="A17" s="82" t="s">
        <v>123</v>
      </c>
      <c r="B17" s="154">
        <v>29</v>
      </c>
      <c r="C17" s="111">
        <v>49</v>
      </c>
      <c r="D17" s="111">
        <f t="shared" si="0"/>
        <v>185</v>
      </c>
      <c r="E17" s="147">
        <v>109273</v>
      </c>
      <c r="F17" s="147">
        <v>108877</v>
      </c>
      <c r="G17" s="171">
        <f t="shared" si="1"/>
        <v>0.996</v>
      </c>
      <c r="H17" s="84">
        <v>73494</v>
      </c>
      <c r="I17" s="84">
        <v>5381</v>
      </c>
      <c r="J17" s="84">
        <v>12543</v>
      </c>
      <c r="K17" s="84">
        <v>1784</v>
      </c>
      <c r="L17" s="84">
        <v>5825</v>
      </c>
      <c r="M17" s="84">
        <v>300</v>
      </c>
      <c r="N17" s="84">
        <v>4666</v>
      </c>
      <c r="O17" s="155">
        <f t="shared" si="2"/>
        <v>4884</v>
      </c>
    </row>
    <row r="18" spans="1:15" ht="12.75">
      <c r="A18" s="82" t="s">
        <v>124</v>
      </c>
      <c r="B18" s="154">
        <v>31</v>
      </c>
      <c r="C18" s="111">
        <v>75</v>
      </c>
      <c r="D18" s="111">
        <f t="shared" si="0"/>
        <v>178</v>
      </c>
      <c r="E18" s="147">
        <v>161063</v>
      </c>
      <c r="F18" s="147">
        <v>159774</v>
      </c>
      <c r="G18" s="171">
        <f t="shared" si="1"/>
        <v>0.992</v>
      </c>
      <c r="H18" s="84">
        <v>95262</v>
      </c>
      <c r="I18" s="84">
        <v>6715</v>
      </c>
      <c r="J18" s="84">
        <v>13437</v>
      </c>
      <c r="K18" s="84">
        <v>2109</v>
      </c>
      <c r="L18" s="84">
        <v>27999</v>
      </c>
      <c r="M18" s="84">
        <v>1180</v>
      </c>
      <c r="N18" s="84">
        <v>8506</v>
      </c>
      <c r="O18" s="155">
        <f t="shared" si="2"/>
        <v>4566</v>
      </c>
    </row>
    <row r="19" spans="1:15" ht="12.75">
      <c r="A19" s="82" t="s">
        <v>126</v>
      </c>
      <c r="B19" s="154">
        <v>34</v>
      </c>
      <c r="C19" s="111">
        <v>37</v>
      </c>
      <c r="D19" s="111">
        <f t="shared" si="0"/>
        <v>259</v>
      </c>
      <c r="E19" s="147">
        <v>121231</v>
      </c>
      <c r="F19" s="147">
        <v>115135</v>
      </c>
      <c r="G19" s="171">
        <f t="shared" si="1"/>
        <v>0.95</v>
      </c>
      <c r="H19" s="84">
        <v>74866</v>
      </c>
      <c r="I19" s="84">
        <v>5307</v>
      </c>
      <c r="J19" s="84">
        <v>13784</v>
      </c>
      <c r="K19" s="84">
        <v>1934</v>
      </c>
      <c r="L19" s="84">
        <v>8156</v>
      </c>
      <c r="M19" s="84"/>
      <c r="N19" s="84">
        <v>6288</v>
      </c>
      <c r="O19" s="155">
        <f t="shared" si="2"/>
        <v>4800</v>
      </c>
    </row>
    <row r="20" spans="1:15" ht="12.75">
      <c r="A20" s="82" t="s">
        <v>127</v>
      </c>
      <c r="B20" s="154">
        <v>35</v>
      </c>
      <c r="C20" s="111">
        <v>51</v>
      </c>
      <c r="D20" s="111">
        <f t="shared" si="0"/>
        <v>164</v>
      </c>
      <c r="E20" s="147">
        <v>100438</v>
      </c>
      <c r="F20" s="147">
        <v>100435</v>
      </c>
      <c r="G20" s="171">
        <f t="shared" si="1"/>
        <v>1</v>
      </c>
      <c r="H20" s="84">
        <v>70535</v>
      </c>
      <c r="I20" s="84">
        <v>5010</v>
      </c>
      <c r="J20" s="84">
        <v>12339</v>
      </c>
      <c r="K20" s="84">
        <v>1756</v>
      </c>
      <c r="L20" s="84">
        <v>2030</v>
      </c>
      <c r="M20" s="84"/>
      <c r="N20" s="84">
        <v>4253</v>
      </c>
      <c r="O20" s="155">
        <f t="shared" si="2"/>
        <v>4512</v>
      </c>
    </row>
    <row r="21" spans="1:15" ht="12.75">
      <c r="A21" s="82" t="s">
        <v>128</v>
      </c>
      <c r="B21" s="154">
        <v>37</v>
      </c>
      <c r="C21" s="111">
        <v>15</v>
      </c>
      <c r="D21" s="111">
        <f t="shared" si="0"/>
        <v>258</v>
      </c>
      <c r="E21" s="147">
        <v>47056</v>
      </c>
      <c r="F21" s="147">
        <v>46497</v>
      </c>
      <c r="G21" s="171">
        <f t="shared" si="1"/>
        <v>0.988</v>
      </c>
      <c r="H21" s="84">
        <v>32159</v>
      </c>
      <c r="I21" s="84">
        <v>2641</v>
      </c>
      <c r="J21" s="84">
        <v>5624</v>
      </c>
      <c r="K21" s="84">
        <v>789</v>
      </c>
      <c r="L21" s="84">
        <v>1493</v>
      </c>
      <c r="M21" s="84"/>
      <c r="N21" s="84">
        <v>2035</v>
      </c>
      <c r="O21" s="155">
        <f t="shared" si="2"/>
        <v>1756</v>
      </c>
    </row>
    <row r="22" spans="1:15" ht="12.75">
      <c r="A22" s="82" t="s">
        <v>130</v>
      </c>
      <c r="B22" s="154">
        <v>40</v>
      </c>
      <c r="C22" s="111">
        <v>89</v>
      </c>
      <c r="D22" s="111">
        <f t="shared" si="0"/>
        <v>183</v>
      </c>
      <c r="E22" s="147">
        <v>197614</v>
      </c>
      <c r="F22" s="147">
        <v>195017</v>
      </c>
      <c r="G22" s="171">
        <f t="shared" si="1"/>
        <v>0.987</v>
      </c>
      <c r="H22" s="84">
        <v>133895</v>
      </c>
      <c r="I22" s="84">
        <v>9141</v>
      </c>
      <c r="J22" s="84">
        <v>22065</v>
      </c>
      <c r="K22" s="84">
        <v>3383</v>
      </c>
      <c r="L22" s="84">
        <v>10651</v>
      </c>
      <c r="M22" s="84">
        <v>300</v>
      </c>
      <c r="N22" s="84">
        <v>8538</v>
      </c>
      <c r="O22" s="155">
        <f t="shared" si="2"/>
        <v>7044</v>
      </c>
    </row>
    <row r="23" spans="1:15" ht="12.75">
      <c r="A23" s="82" t="s">
        <v>131</v>
      </c>
      <c r="B23" s="154">
        <v>42</v>
      </c>
      <c r="C23" s="111">
        <v>37</v>
      </c>
      <c r="D23" s="111">
        <f t="shared" si="0"/>
        <v>138</v>
      </c>
      <c r="E23" s="147">
        <v>62437</v>
      </c>
      <c r="F23" s="147">
        <v>61167</v>
      </c>
      <c r="G23" s="171">
        <f t="shared" si="1"/>
        <v>0.98</v>
      </c>
      <c r="H23" s="84">
        <v>39226</v>
      </c>
      <c r="I23" s="84">
        <v>4034</v>
      </c>
      <c r="J23" s="84">
        <v>6979</v>
      </c>
      <c r="K23" s="84">
        <v>979</v>
      </c>
      <c r="L23" s="84">
        <v>2855</v>
      </c>
      <c r="M23" s="84"/>
      <c r="N23" s="84">
        <v>4070</v>
      </c>
      <c r="O23" s="155">
        <f t="shared" si="2"/>
        <v>3024</v>
      </c>
    </row>
    <row r="24" spans="1:15" ht="12.75">
      <c r="A24" s="82" t="s">
        <v>132</v>
      </c>
      <c r="B24" s="154">
        <v>43</v>
      </c>
      <c r="C24" s="111">
        <v>43</v>
      </c>
      <c r="D24" s="111">
        <f t="shared" si="0"/>
        <v>164</v>
      </c>
      <c r="E24" s="147">
        <v>85038</v>
      </c>
      <c r="F24" s="147">
        <v>84621</v>
      </c>
      <c r="G24" s="171">
        <f t="shared" si="1"/>
        <v>0.995</v>
      </c>
      <c r="H24" s="84">
        <v>51964</v>
      </c>
      <c r="I24" s="84">
        <v>4911</v>
      </c>
      <c r="J24" s="84">
        <v>10158</v>
      </c>
      <c r="K24" s="84">
        <v>1425</v>
      </c>
      <c r="L24" s="84">
        <v>8213</v>
      </c>
      <c r="M24" s="84">
        <v>300</v>
      </c>
      <c r="N24" s="84">
        <v>4070</v>
      </c>
      <c r="O24" s="155">
        <f t="shared" si="2"/>
        <v>3580</v>
      </c>
    </row>
    <row r="25" spans="1:15" ht="12.75">
      <c r="A25" s="82" t="s">
        <v>134</v>
      </c>
      <c r="B25" s="154">
        <v>45</v>
      </c>
      <c r="C25" s="111">
        <v>85</v>
      </c>
      <c r="D25" s="111">
        <f t="shared" si="0"/>
        <v>160</v>
      </c>
      <c r="E25" s="147">
        <v>166847</v>
      </c>
      <c r="F25" s="147">
        <v>162943</v>
      </c>
      <c r="G25" s="171">
        <f t="shared" si="1"/>
        <v>0.977</v>
      </c>
      <c r="H25" s="84">
        <v>117947</v>
      </c>
      <c r="I25" s="84">
        <v>8028</v>
      </c>
      <c r="J25" s="84">
        <v>20136</v>
      </c>
      <c r="K25" s="84">
        <v>2865</v>
      </c>
      <c r="L25" s="84">
        <v>1483</v>
      </c>
      <c r="M25" s="84"/>
      <c r="N25" s="84">
        <v>8140</v>
      </c>
      <c r="O25" s="155">
        <f t="shared" si="2"/>
        <v>4344</v>
      </c>
    </row>
    <row r="26" spans="1:15" ht="12.75">
      <c r="A26" s="82" t="s">
        <v>135</v>
      </c>
      <c r="B26" s="154">
        <v>46</v>
      </c>
      <c r="C26" s="111">
        <v>35</v>
      </c>
      <c r="D26" s="111">
        <f t="shared" si="0"/>
        <v>216</v>
      </c>
      <c r="E26" s="147">
        <v>90630</v>
      </c>
      <c r="F26" s="147">
        <v>90630</v>
      </c>
      <c r="G26" s="171">
        <f t="shared" si="1"/>
        <v>1</v>
      </c>
      <c r="H26" s="84">
        <v>60177</v>
      </c>
      <c r="I26" s="84">
        <v>4141</v>
      </c>
      <c r="J26" s="84">
        <v>10597</v>
      </c>
      <c r="K26" s="84">
        <v>1527</v>
      </c>
      <c r="L26" s="84">
        <v>7670</v>
      </c>
      <c r="M26" s="84">
        <v>263</v>
      </c>
      <c r="N26" s="84">
        <v>4070</v>
      </c>
      <c r="O26" s="155">
        <f t="shared" si="2"/>
        <v>2185</v>
      </c>
    </row>
    <row r="27" spans="1:15" ht="12.75">
      <c r="A27" s="82" t="s">
        <v>136</v>
      </c>
      <c r="B27" s="154">
        <v>47</v>
      </c>
      <c r="C27" s="111">
        <v>66</v>
      </c>
      <c r="D27" s="111">
        <f t="shared" si="0"/>
        <v>184</v>
      </c>
      <c r="E27" s="147">
        <v>146612</v>
      </c>
      <c r="F27" s="147">
        <v>145999</v>
      </c>
      <c r="G27" s="171">
        <f t="shared" si="1"/>
        <v>0.996</v>
      </c>
      <c r="H27" s="84">
        <v>91206</v>
      </c>
      <c r="I27" s="84">
        <v>6364</v>
      </c>
      <c r="J27" s="84">
        <v>15039</v>
      </c>
      <c r="K27" s="84">
        <v>2120</v>
      </c>
      <c r="L27" s="84">
        <v>19805</v>
      </c>
      <c r="M27" s="84"/>
      <c r="N27" s="84">
        <v>6451</v>
      </c>
      <c r="O27" s="155">
        <f t="shared" si="2"/>
        <v>5014</v>
      </c>
    </row>
    <row r="28" spans="1:15" ht="12.75">
      <c r="A28" s="157" t="s">
        <v>137</v>
      </c>
      <c r="B28" s="154">
        <v>48</v>
      </c>
      <c r="C28" s="111">
        <v>38</v>
      </c>
      <c r="D28" s="111">
        <f t="shared" si="0"/>
        <v>220</v>
      </c>
      <c r="E28" s="147">
        <v>100533</v>
      </c>
      <c r="F28" s="147">
        <v>100356</v>
      </c>
      <c r="G28" s="171">
        <f t="shared" si="1"/>
        <v>0.998</v>
      </c>
      <c r="H28" s="84">
        <v>71294</v>
      </c>
      <c r="I28" s="84">
        <v>5063</v>
      </c>
      <c r="J28" s="84">
        <v>12704</v>
      </c>
      <c r="K28" s="84">
        <v>1786</v>
      </c>
      <c r="L28" s="84">
        <v>2330</v>
      </c>
      <c r="M28" s="84">
        <v>200</v>
      </c>
      <c r="N28" s="84">
        <v>4070</v>
      </c>
      <c r="O28" s="155">
        <f t="shared" si="2"/>
        <v>2909</v>
      </c>
    </row>
    <row r="29" spans="1:15" ht="12.75">
      <c r="A29" s="80" t="s">
        <v>46</v>
      </c>
      <c r="B29" s="158"/>
      <c r="C29" s="86">
        <f>SUM(C7:C28)</f>
        <v>1058</v>
      </c>
      <c r="D29" s="111">
        <f t="shared" si="0"/>
        <v>184</v>
      </c>
      <c r="E29" s="153">
        <f>SUM(E7:E28)</f>
        <v>2365528</v>
      </c>
      <c r="F29" s="153">
        <f>SUM(F7:F28)</f>
        <v>2333466</v>
      </c>
      <c r="G29" s="171">
        <f t="shared" si="1"/>
        <v>0.986</v>
      </c>
      <c r="H29" s="87">
        <f aca="true" t="shared" si="3" ref="H29:O29">SUM(H7:H28)</f>
        <v>1555677</v>
      </c>
      <c r="I29" s="87">
        <f t="shared" si="3"/>
        <v>108978</v>
      </c>
      <c r="J29" s="87">
        <f t="shared" si="3"/>
        <v>267521</v>
      </c>
      <c r="K29" s="87">
        <f t="shared" si="3"/>
        <v>38056</v>
      </c>
      <c r="L29" s="87">
        <f t="shared" si="3"/>
        <v>160520</v>
      </c>
      <c r="M29" s="87">
        <f t="shared" si="3"/>
        <v>3823</v>
      </c>
      <c r="N29" s="87">
        <f t="shared" si="3"/>
        <v>111174</v>
      </c>
      <c r="O29" s="87">
        <f t="shared" si="3"/>
        <v>87717</v>
      </c>
    </row>
    <row r="30" spans="1:14" ht="12.75">
      <c r="A30" s="159"/>
      <c r="B30" s="160"/>
      <c r="C30" s="161"/>
      <c r="D30" s="161"/>
      <c r="E30" s="161"/>
      <c r="F30" s="76"/>
      <c r="G30" s="76"/>
      <c r="H30" s="76"/>
      <c r="I30" s="76"/>
      <c r="J30" s="161"/>
      <c r="K30" s="76"/>
      <c r="L30" s="76"/>
      <c r="M30" s="76"/>
      <c r="N30" s="76"/>
    </row>
    <row r="31" spans="1:14" ht="12.75">
      <c r="A31" s="150"/>
      <c r="B31" s="162"/>
      <c r="C31" s="128"/>
      <c r="D31" s="128"/>
      <c r="E31" s="128"/>
      <c r="F31" s="196"/>
      <c r="G31" s="128"/>
      <c r="H31" s="128"/>
      <c r="I31" s="128"/>
      <c r="J31" s="128"/>
      <c r="K31" s="93"/>
      <c r="L31" s="128"/>
      <c r="M31" s="93"/>
      <c r="N31" s="93"/>
    </row>
    <row r="32" spans="1:14" ht="12.75">
      <c r="A32" s="150"/>
      <c r="B32" s="162"/>
      <c r="C32" s="128"/>
      <c r="D32" s="128"/>
      <c r="E32" s="128"/>
      <c r="F32" s="93"/>
      <c r="G32" s="93"/>
      <c r="H32" s="93"/>
      <c r="I32" s="93"/>
      <c r="J32" s="93"/>
      <c r="K32" s="93"/>
      <c r="L32" s="93"/>
      <c r="M32" s="93"/>
      <c r="N32" s="93"/>
    </row>
    <row r="33" spans="1:14" ht="12.75">
      <c r="A33" s="150"/>
      <c r="B33" s="162"/>
      <c r="C33" s="128"/>
      <c r="D33" s="128"/>
      <c r="E33" s="128"/>
      <c r="F33" s="93"/>
      <c r="G33" s="93"/>
      <c r="H33" s="93"/>
      <c r="I33" s="93"/>
      <c r="J33" s="128"/>
      <c r="K33" s="93"/>
      <c r="L33" s="93"/>
      <c r="M33" s="93"/>
      <c r="N33" s="93"/>
    </row>
    <row r="34" spans="1:14" ht="12.75">
      <c r="A34" s="150"/>
      <c r="B34" s="162"/>
      <c r="C34" s="128"/>
      <c r="D34" s="128"/>
      <c r="E34" s="128"/>
      <c r="F34" s="93"/>
      <c r="G34" s="93"/>
      <c r="H34" s="93"/>
      <c r="I34" s="93"/>
      <c r="J34" s="128"/>
      <c r="K34" s="93"/>
      <c r="L34" s="93"/>
      <c r="M34" s="93"/>
      <c r="N34" s="93"/>
    </row>
    <row r="35" spans="1:14" ht="12.75">
      <c r="A35" s="150"/>
      <c r="B35" s="162"/>
      <c r="C35" s="128"/>
      <c r="D35" s="128"/>
      <c r="E35" s="128"/>
      <c r="F35" s="128"/>
      <c r="G35" s="128"/>
      <c r="H35" s="93"/>
      <c r="I35" s="93"/>
      <c r="J35" s="93"/>
      <c r="K35" s="93"/>
      <c r="L35" s="128"/>
      <c r="M35" s="93"/>
      <c r="N35" s="93"/>
    </row>
    <row r="36" spans="1:14" ht="12.75">
      <c r="A36" s="150"/>
      <c r="B36" s="162"/>
      <c r="C36" s="128"/>
      <c r="D36" s="128"/>
      <c r="E36" s="128"/>
      <c r="F36" s="93"/>
      <c r="G36" s="93"/>
      <c r="H36" s="93"/>
      <c r="I36" s="93"/>
      <c r="J36" s="128"/>
      <c r="K36" s="93"/>
      <c r="L36" s="93"/>
      <c r="M36" s="93"/>
      <c r="N36" s="93"/>
    </row>
    <row r="37" spans="1:14" ht="12.75">
      <c r="A37" s="150"/>
      <c r="B37" s="162"/>
      <c r="C37" s="128"/>
      <c r="D37" s="128"/>
      <c r="E37" s="128"/>
      <c r="F37" s="93"/>
      <c r="G37" s="93"/>
      <c r="H37" s="93"/>
      <c r="I37" s="93"/>
      <c r="J37" s="93"/>
      <c r="K37" s="93"/>
      <c r="L37" s="93"/>
      <c r="M37" s="93"/>
      <c r="N37" s="93"/>
    </row>
    <row r="38" spans="1:14" ht="12.75">
      <c r="A38" s="150"/>
      <c r="B38" s="162"/>
      <c r="C38" s="128"/>
      <c r="D38" s="128"/>
      <c r="E38" s="128"/>
      <c r="F38" s="93"/>
      <c r="G38" s="93"/>
      <c r="H38" s="93"/>
      <c r="I38" s="93"/>
      <c r="J38" s="128"/>
      <c r="K38" s="93"/>
      <c r="L38" s="93"/>
      <c r="M38" s="93"/>
      <c r="N38" s="93"/>
    </row>
    <row r="39" spans="1:14" ht="12.75">
      <c r="A39" s="150"/>
      <c r="B39" s="162"/>
      <c r="C39" s="128"/>
      <c r="D39" s="128"/>
      <c r="E39" s="128"/>
      <c r="F39" s="128"/>
      <c r="G39" s="128"/>
      <c r="H39" s="93"/>
      <c r="I39" s="93"/>
      <c r="J39" s="93"/>
      <c r="K39" s="93"/>
      <c r="L39" s="128"/>
      <c r="M39" s="93"/>
      <c r="N39" s="93"/>
    </row>
    <row r="40" spans="1:14" ht="12.75">
      <c r="A40" s="150"/>
      <c r="B40" s="162"/>
      <c r="C40" s="128"/>
      <c r="D40" s="128"/>
      <c r="E40" s="128"/>
      <c r="F40" s="128"/>
      <c r="G40" s="128"/>
      <c r="H40" s="128"/>
      <c r="I40" s="128"/>
      <c r="J40" s="128"/>
      <c r="K40" s="93"/>
      <c r="L40" s="128"/>
      <c r="M40" s="93"/>
      <c r="N40" s="93"/>
    </row>
    <row r="41" spans="1:14" ht="12.75">
      <c r="A41" s="150"/>
      <c r="B41" s="162"/>
      <c r="C41" s="128"/>
      <c r="D41" s="128"/>
      <c r="E41" s="128"/>
      <c r="F41" s="128"/>
      <c r="G41" s="128"/>
      <c r="H41" s="128"/>
      <c r="I41" s="128"/>
      <c r="J41" s="128"/>
      <c r="K41" s="93"/>
      <c r="L41" s="128"/>
      <c r="M41" s="93"/>
      <c r="N41" s="93"/>
    </row>
    <row r="42" spans="1:14" ht="12.75">
      <c r="A42" s="150"/>
      <c r="B42" s="162"/>
      <c r="C42" s="128"/>
      <c r="D42" s="128"/>
      <c r="E42" s="128"/>
      <c r="F42" s="128"/>
      <c r="G42" s="128"/>
      <c r="H42" s="93"/>
      <c r="I42" s="93"/>
      <c r="J42" s="93"/>
      <c r="K42" s="93"/>
      <c r="L42" s="128"/>
      <c r="M42" s="93"/>
      <c r="N42" s="93"/>
    </row>
    <row r="43" spans="1:14" ht="12.75">
      <c r="A43" s="150"/>
      <c r="B43" s="162"/>
      <c r="C43" s="128"/>
      <c r="D43" s="128"/>
      <c r="E43" s="128"/>
      <c r="F43" s="93"/>
      <c r="G43" s="93"/>
      <c r="H43" s="93"/>
      <c r="I43" s="93"/>
      <c r="J43" s="128"/>
      <c r="K43" s="93"/>
      <c r="L43" s="93"/>
      <c r="M43" s="93"/>
      <c r="N43" s="93"/>
    </row>
    <row r="44" spans="1:14" ht="12.75">
      <c r="A44" s="150"/>
      <c r="B44" s="162"/>
      <c r="C44" s="128"/>
      <c r="D44" s="128"/>
      <c r="E44" s="128"/>
      <c r="F44" s="128"/>
      <c r="G44" s="128"/>
      <c r="H44" s="128"/>
      <c r="I44" s="128"/>
      <c r="J44" s="128"/>
      <c r="K44" s="93"/>
      <c r="L44" s="128"/>
      <c r="M44" s="93"/>
      <c r="N44" s="93"/>
    </row>
  </sheetData>
  <mergeCells count="1">
    <mergeCell ref="A2:P2"/>
  </mergeCells>
  <printOptions/>
  <pageMargins left="0.61" right="0.19" top="0.82" bottom="0.3937007874015748" header="0.77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pane xSplit="2" ySplit="5" topLeftCell="C20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F30" sqref="F30:F32"/>
    </sheetView>
  </sheetViews>
  <sheetFormatPr defaultColWidth="9.00390625" defaultRowHeight="12.75"/>
  <cols>
    <col min="1" max="1" width="15.25390625" style="0" customWidth="1"/>
    <col min="2" max="2" width="10.25390625" style="0" customWidth="1"/>
    <col min="3" max="3" width="8.375" style="0" customWidth="1"/>
    <col min="4" max="4" width="6.25390625" style="98" customWidth="1"/>
    <col min="5" max="5" width="10.75390625" style="190" customWidth="1"/>
    <col min="6" max="6" width="9.75390625" style="135" customWidth="1"/>
    <col min="7" max="7" width="8.125" style="0" customWidth="1"/>
    <col min="9" max="9" width="7.875" style="0" customWidth="1"/>
    <col min="10" max="10" width="8.00390625" style="0" customWidth="1"/>
    <col min="11" max="11" width="6.875" style="0" customWidth="1"/>
    <col min="12" max="12" width="7.875" style="0" customWidth="1"/>
    <col min="13" max="13" width="7.125" style="0" customWidth="1"/>
    <col min="14" max="14" width="8.125" style="0" customWidth="1"/>
    <col min="15" max="15" width="7.25390625" style="0" customWidth="1"/>
  </cols>
  <sheetData>
    <row r="1" spans="1:16" ht="12.75">
      <c r="A1" s="100"/>
      <c r="B1" s="93"/>
      <c r="C1" s="93"/>
      <c r="D1" s="96"/>
      <c r="E1" s="176"/>
      <c r="F1" s="128"/>
      <c r="G1" s="93"/>
      <c r="H1" s="93"/>
      <c r="I1" s="93"/>
      <c r="J1" s="93"/>
      <c r="K1" s="93"/>
      <c r="L1" s="101"/>
      <c r="M1" s="93"/>
      <c r="N1" s="93"/>
      <c r="P1" s="32" t="s">
        <v>243</v>
      </c>
    </row>
    <row r="2" spans="1:16" ht="12.75">
      <c r="A2" s="102"/>
      <c r="B2" s="102"/>
      <c r="C2" s="102"/>
      <c r="D2" s="103"/>
      <c r="E2" s="177"/>
      <c r="F2" s="177"/>
      <c r="G2" s="102"/>
      <c r="H2" s="103"/>
      <c r="I2" s="102"/>
      <c r="J2" s="102"/>
      <c r="K2" s="102"/>
      <c r="L2" s="102"/>
      <c r="M2" s="102"/>
      <c r="N2" s="102"/>
      <c r="O2" s="102"/>
      <c r="P2" s="93"/>
    </row>
    <row r="3" spans="1:16" ht="15.75">
      <c r="A3" s="77" t="s">
        <v>232</v>
      </c>
      <c r="B3" s="104"/>
      <c r="C3" s="105"/>
      <c r="D3" s="106"/>
      <c r="E3" s="178"/>
      <c r="F3" s="179"/>
      <c r="G3" s="106"/>
      <c r="H3" s="107"/>
      <c r="I3" s="104"/>
      <c r="J3" s="104"/>
      <c r="K3" s="104"/>
      <c r="L3" s="102"/>
      <c r="M3" s="102"/>
      <c r="N3" s="102"/>
      <c r="O3" s="102"/>
      <c r="P3" s="109"/>
    </row>
    <row r="4" spans="1:16" ht="24" customHeight="1">
      <c r="A4" s="77" t="s">
        <v>138</v>
      </c>
      <c r="B4" s="102"/>
      <c r="C4" s="103"/>
      <c r="D4" s="103"/>
      <c r="E4" s="180"/>
      <c r="F4" s="181"/>
      <c r="G4" s="103"/>
      <c r="H4" s="110"/>
      <c r="I4" s="103"/>
      <c r="J4" s="103"/>
      <c r="K4" s="103"/>
      <c r="L4" s="103"/>
      <c r="M4" s="103"/>
      <c r="N4" s="103"/>
      <c r="O4" s="103"/>
      <c r="P4" s="93"/>
    </row>
    <row r="5" spans="1:16" ht="42">
      <c r="A5" s="172" t="s">
        <v>234</v>
      </c>
      <c r="B5" s="172" t="s">
        <v>235</v>
      </c>
      <c r="C5" s="172" t="s">
        <v>236</v>
      </c>
      <c r="D5" s="172" t="s">
        <v>237</v>
      </c>
      <c r="E5" s="182" t="s">
        <v>238</v>
      </c>
      <c r="F5" s="182" t="s">
        <v>239</v>
      </c>
      <c r="G5" s="173" t="s">
        <v>240</v>
      </c>
      <c r="H5" s="79" t="s">
        <v>39</v>
      </c>
      <c r="I5" s="79" t="s">
        <v>40</v>
      </c>
      <c r="J5" s="79" t="s">
        <v>41</v>
      </c>
      <c r="K5" s="79" t="s">
        <v>42</v>
      </c>
      <c r="L5" s="79" t="s">
        <v>104</v>
      </c>
      <c r="M5" s="79" t="s">
        <v>57</v>
      </c>
      <c r="N5" s="79" t="s">
        <v>105</v>
      </c>
      <c r="O5" s="79" t="s">
        <v>89</v>
      </c>
      <c r="P5" s="167" t="s">
        <v>233</v>
      </c>
    </row>
    <row r="6" spans="1:16" ht="12.75">
      <c r="A6" s="82" t="s">
        <v>139</v>
      </c>
      <c r="B6" s="81" t="s">
        <v>140</v>
      </c>
      <c r="C6" s="111">
        <v>642</v>
      </c>
      <c r="D6" s="111">
        <f aca="true" t="shared" si="0" ref="D6:D29">F6/12/C6</f>
        <v>408</v>
      </c>
      <c r="E6" s="147">
        <f>3119159+7619+20000</f>
        <v>3146778</v>
      </c>
      <c r="F6" s="147">
        <f>3116308+3823+19319</f>
        <v>3139450</v>
      </c>
      <c r="G6" s="171">
        <f>F6/E6</f>
        <v>0.998</v>
      </c>
      <c r="H6" s="84">
        <v>2047150</v>
      </c>
      <c r="I6" s="84">
        <v>153715</v>
      </c>
      <c r="J6" s="84">
        <v>351106</v>
      </c>
      <c r="K6" s="84">
        <v>49257</v>
      </c>
      <c r="L6" s="84">
        <v>126000</v>
      </c>
      <c r="M6" s="84">
        <v>218418</v>
      </c>
      <c r="N6" s="84">
        <v>121422</v>
      </c>
      <c r="O6" s="84"/>
      <c r="P6" s="84">
        <f>F6-(SUM(H6:O6))</f>
        <v>72382</v>
      </c>
    </row>
    <row r="7" spans="1:16" ht="12.75">
      <c r="A7" s="82" t="s">
        <v>107</v>
      </c>
      <c r="B7" s="81" t="s">
        <v>141</v>
      </c>
      <c r="C7" s="111">
        <v>326</v>
      </c>
      <c r="D7" s="111">
        <f t="shared" si="0"/>
        <v>372</v>
      </c>
      <c r="E7" s="147">
        <v>1463624</v>
      </c>
      <c r="F7" s="147">
        <v>1457005</v>
      </c>
      <c r="G7" s="171">
        <f aca="true" t="shared" si="1" ref="G7:G29">F7/E7</f>
        <v>0.995</v>
      </c>
      <c r="H7" s="84">
        <v>925896</v>
      </c>
      <c r="I7" s="84">
        <v>71490</v>
      </c>
      <c r="J7" s="84">
        <v>144350</v>
      </c>
      <c r="K7" s="84">
        <v>22143</v>
      </c>
      <c r="L7" s="84">
        <v>19621</v>
      </c>
      <c r="M7" s="84"/>
      <c r="N7" s="84">
        <v>65565</v>
      </c>
      <c r="O7" s="84"/>
      <c r="P7" s="84">
        <f aca="true" t="shared" si="2" ref="P7:P28">F7-(SUM(H7:O7))</f>
        <v>207940</v>
      </c>
    </row>
    <row r="8" spans="1:16" ht="12.75">
      <c r="A8" s="82" t="s">
        <v>142</v>
      </c>
      <c r="B8" s="81" t="s">
        <v>143</v>
      </c>
      <c r="C8" s="111">
        <v>295</v>
      </c>
      <c r="D8" s="111">
        <f t="shared" si="0"/>
        <v>667</v>
      </c>
      <c r="E8" s="147">
        <v>2379882</v>
      </c>
      <c r="F8" s="147">
        <v>2361523</v>
      </c>
      <c r="G8" s="171">
        <f t="shared" si="1"/>
        <v>0.992</v>
      </c>
      <c r="H8" s="84">
        <v>1580921</v>
      </c>
      <c r="I8" s="84">
        <v>110863</v>
      </c>
      <c r="J8" s="84">
        <v>280248</v>
      </c>
      <c r="K8" s="84">
        <v>37459</v>
      </c>
      <c r="L8" s="84">
        <v>132135</v>
      </c>
      <c r="M8" s="84">
        <v>79998</v>
      </c>
      <c r="N8" s="84">
        <v>93000</v>
      </c>
      <c r="O8" s="84"/>
      <c r="P8" s="84">
        <f t="shared" si="2"/>
        <v>46899</v>
      </c>
    </row>
    <row r="9" spans="1:16" ht="12.75">
      <c r="A9" s="82" t="s">
        <v>144</v>
      </c>
      <c r="B9" s="81" t="s">
        <v>145</v>
      </c>
      <c r="C9" s="111">
        <v>514</v>
      </c>
      <c r="D9" s="111">
        <f t="shared" si="0"/>
        <v>470</v>
      </c>
      <c r="E9" s="147">
        <v>2919720</v>
      </c>
      <c r="F9" s="147">
        <v>2899878</v>
      </c>
      <c r="G9" s="171">
        <f t="shared" si="1"/>
        <v>0.993</v>
      </c>
      <c r="H9" s="84">
        <v>1899472</v>
      </c>
      <c r="I9" s="84">
        <v>140978</v>
      </c>
      <c r="J9" s="84">
        <v>340073</v>
      </c>
      <c r="K9" s="84">
        <v>47517</v>
      </c>
      <c r="L9" s="84">
        <v>176023</v>
      </c>
      <c r="M9" s="84">
        <f>119746+2000</f>
        <v>121746</v>
      </c>
      <c r="N9" s="84">
        <v>108240</v>
      </c>
      <c r="O9" s="84">
        <v>6000</v>
      </c>
      <c r="P9" s="84">
        <f t="shared" si="2"/>
        <v>59829</v>
      </c>
    </row>
    <row r="10" spans="1:16" ht="12.75">
      <c r="A10" s="82" t="s">
        <v>109</v>
      </c>
      <c r="B10" s="81" t="s">
        <v>146</v>
      </c>
      <c r="C10" s="111">
        <v>189</v>
      </c>
      <c r="D10" s="111">
        <f t="shared" si="0"/>
        <v>500</v>
      </c>
      <c r="E10" s="147">
        <v>1141154</v>
      </c>
      <c r="F10" s="147">
        <v>1134895</v>
      </c>
      <c r="G10" s="171">
        <f t="shared" si="1"/>
        <v>0.995</v>
      </c>
      <c r="H10" s="84">
        <v>844121</v>
      </c>
      <c r="I10" s="84">
        <v>55521</v>
      </c>
      <c r="J10" s="84">
        <v>108561</v>
      </c>
      <c r="K10" s="84">
        <v>20201</v>
      </c>
      <c r="L10" s="84">
        <v>33880</v>
      </c>
      <c r="M10" s="84"/>
      <c r="N10" s="84">
        <v>54971</v>
      </c>
      <c r="O10" s="84"/>
      <c r="P10" s="84">
        <f t="shared" si="2"/>
        <v>17640</v>
      </c>
    </row>
    <row r="11" spans="1:16" ht="12.75">
      <c r="A11" s="82" t="s">
        <v>147</v>
      </c>
      <c r="B11" s="81" t="s">
        <v>148</v>
      </c>
      <c r="C11" s="111">
        <v>74</v>
      </c>
      <c r="D11" s="111">
        <f t="shared" si="0"/>
        <v>723</v>
      </c>
      <c r="E11" s="147">
        <v>675575</v>
      </c>
      <c r="F11" s="147">
        <v>641599</v>
      </c>
      <c r="G11" s="171">
        <f t="shared" si="1"/>
        <v>0.95</v>
      </c>
      <c r="H11" s="84">
        <v>471042</v>
      </c>
      <c r="I11" s="84">
        <v>31205</v>
      </c>
      <c r="J11" s="84">
        <v>66319</v>
      </c>
      <c r="K11" s="84">
        <v>9402</v>
      </c>
      <c r="L11" s="84">
        <v>33908</v>
      </c>
      <c r="M11" s="84">
        <v>1000</v>
      </c>
      <c r="N11" s="84">
        <v>21953</v>
      </c>
      <c r="O11" s="84"/>
      <c r="P11" s="84">
        <f t="shared" si="2"/>
        <v>6770</v>
      </c>
    </row>
    <row r="12" spans="1:16" ht="12.75">
      <c r="A12" s="82" t="s">
        <v>111</v>
      </c>
      <c r="B12" s="81" t="s">
        <v>149</v>
      </c>
      <c r="C12" s="111">
        <v>197</v>
      </c>
      <c r="D12" s="111">
        <f t="shared" si="0"/>
        <v>492</v>
      </c>
      <c r="E12" s="147">
        <v>1178272</v>
      </c>
      <c r="F12" s="147">
        <v>1163740</v>
      </c>
      <c r="G12" s="171">
        <f t="shared" si="1"/>
        <v>0.988</v>
      </c>
      <c r="H12" s="84">
        <v>841556</v>
      </c>
      <c r="I12" s="84">
        <v>60394</v>
      </c>
      <c r="J12" s="84">
        <v>146094</v>
      </c>
      <c r="K12" s="84">
        <v>20755</v>
      </c>
      <c r="L12" s="84">
        <v>30143</v>
      </c>
      <c r="M12" s="84">
        <v>525</v>
      </c>
      <c r="N12" s="84">
        <v>46162</v>
      </c>
      <c r="O12" s="84"/>
      <c r="P12" s="84">
        <f t="shared" si="2"/>
        <v>18111</v>
      </c>
    </row>
    <row r="13" spans="1:16" ht="12.75">
      <c r="A13" s="82" t="s">
        <v>112</v>
      </c>
      <c r="B13" s="81" t="s">
        <v>150</v>
      </c>
      <c r="C13" s="111">
        <v>303</v>
      </c>
      <c r="D13" s="111">
        <f t="shared" si="0"/>
        <v>458</v>
      </c>
      <c r="E13" s="147">
        <v>1692730</v>
      </c>
      <c r="F13" s="147">
        <v>1663837</v>
      </c>
      <c r="G13" s="171">
        <f t="shared" si="1"/>
        <v>0.983</v>
      </c>
      <c r="H13" s="84">
        <v>1188726</v>
      </c>
      <c r="I13" s="84">
        <v>83142</v>
      </c>
      <c r="J13" s="84">
        <v>203471</v>
      </c>
      <c r="K13" s="84">
        <v>28848</v>
      </c>
      <c r="L13" s="84">
        <v>75530</v>
      </c>
      <c r="M13" s="84">
        <v>3610</v>
      </c>
      <c r="N13" s="84">
        <v>60479</v>
      </c>
      <c r="O13" s="84"/>
      <c r="P13" s="84">
        <f t="shared" si="2"/>
        <v>20031</v>
      </c>
    </row>
    <row r="14" spans="1:16" ht="12.75">
      <c r="A14" s="82" t="s">
        <v>151</v>
      </c>
      <c r="B14" s="81" t="s">
        <v>152</v>
      </c>
      <c r="C14" s="111">
        <v>149</v>
      </c>
      <c r="D14" s="111">
        <f t="shared" si="0"/>
        <v>550</v>
      </c>
      <c r="E14" s="147">
        <v>985155</v>
      </c>
      <c r="F14" s="147">
        <v>984116</v>
      </c>
      <c r="G14" s="171">
        <f t="shared" si="1"/>
        <v>0.999</v>
      </c>
      <c r="H14" s="84">
        <v>642187</v>
      </c>
      <c r="I14" s="84">
        <v>48763</v>
      </c>
      <c r="J14" s="84">
        <v>115961</v>
      </c>
      <c r="K14" s="84">
        <v>16469</v>
      </c>
      <c r="L14" s="84">
        <v>35836</v>
      </c>
      <c r="M14" s="84">
        <v>2500</v>
      </c>
      <c r="N14" s="84">
        <v>41506</v>
      </c>
      <c r="O14" s="84"/>
      <c r="P14" s="84">
        <f t="shared" si="2"/>
        <v>80894</v>
      </c>
    </row>
    <row r="15" spans="1:16" ht="12.75">
      <c r="A15" s="82" t="s">
        <v>153</v>
      </c>
      <c r="B15" s="81" t="s">
        <v>154</v>
      </c>
      <c r="C15" s="111">
        <v>393</v>
      </c>
      <c r="D15" s="111">
        <f t="shared" si="0"/>
        <v>383</v>
      </c>
      <c r="E15" s="147">
        <v>1818436</v>
      </c>
      <c r="F15" s="147">
        <v>1804276</v>
      </c>
      <c r="G15" s="171">
        <f t="shared" si="1"/>
        <v>0.992</v>
      </c>
      <c r="H15" s="84">
        <v>1253090</v>
      </c>
      <c r="I15" s="84">
        <v>99233</v>
      </c>
      <c r="J15" s="84">
        <v>225512</v>
      </c>
      <c r="K15" s="84">
        <v>31598</v>
      </c>
      <c r="L15" s="84">
        <v>17002</v>
      </c>
      <c r="M15" s="84"/>
      <c r="N15" s="84">
        <v>73723</v>
      </c>
      <c r="O15" s="84"/>
      <c r="P15" s="84">
        <f t="shared" si="2"/>
        <v>104118</v>
      </c>
    </row>
    <row r="16" spans="1:16" ht="12.75">
      <c r="A16" s="82" t="s">
        <v>155</v>
      </c>
      <c r="B16" s="81" t="s">
        <v>156</v>
      </c>
      <c r="C16" s="111">
        <v>427</v>
      </c>
      <c r="D16" s="111">
        <f t="shared" si="0"/>
        <v>458</v>
      </c>
      <c r="E16" s="147">
        <v>2381113</v>
      </c>
      <c r="F16" s="147">
        <v>2349011</v>
      </c>
      <c r="G16" s="171">
        <f t="shared" si="1"/>
        <v>0.987</v>
      </c>
      <c r="H16" s="84">
        <v>1444729</v>
      </c>
      <c r="I16" s="84">
        <v>105536</v>
      </c>
      <c r="J16" s="84">
        <v>253034</v>
      </c>
      <c r="K16" s="84">
        <v>35509</v>
      </c>
      <c r="L16" s="84">
        <v>151826</v>
      </c>
      <c r="M16" s="84">
        <v>230725</v>
      </c>
      <c r="N16" s="84">
        <v>83409</v>
      </c>
      <c r="O16" s="84"/>
      <c r="P16" s="84">
        <f t="shared" si="2"/>
        <v>44243</v>
      </c>
    </row>
    <row r="17" spans="1:16" ht="12.75">
      <c r="A17" s="82" t="s">
        <v>124</v>
      </c>
      <c r="B17" s="81" t="s">
        <v>157</v>
      </c>
      <c r="C17" s="111">
        <v>425</v>
      </c>
      <c r="D17" s="111">
        <f t="shared" si="0"/>
        <v>414</v>
      </c>
      <c r="E17" s="147">
        <v>2153222</v>
      </c>
      <c r="F17" s="147">
        <v>2109545</v>
      </c>
      <c r="G17" s="171">
        <f t="shared" si="1"/>
        <v>0.98</v>
      </c>
      <c r="H17" s="84">
        <v>1440267</v>
      </c>
      <c r="I17" s="84">
        <v>109077</v>
      </c>
      <c r="J17" s="84">
        <v>249252</v>
      </c>
      <c r="K17" s="84">
        <v>34621</v>
      </c>
      <c r="L17" s="84">
        <v>162183</v>
      </c>
      <c r="M17" s="84">
        <v>5000</v>
      </c>
      <c r="N17" s="84">
        <v>82479</v>
      </c>
      <c r="O17" s="84"/>
      <c r="P17" s="84">
        <f t="shared" si="2"/>
        <v>26666</v>
      </c>
    </row>
    <row r="18" spans="1:16" ht="12.75">
      <c r="A18" s="82" t="s">
        <v>158</v>
      </c>
      <c r="B18" s="81" t="s">
        <v>159</v>
      </c>
      <c r="C18" s="111">
        <v>481</v>
      </c>
      <c r="D18" s="111">
        <f t="shared" si="0"/>
        <v>307</v>
      </c>
      <c r="E18" s="147">
        <v>1776674</v>
      </c>
      <c r="F18" s="147">
        <v>1773335</v>
      </c>
      <c r="G18" s="171">
        <f t="shared" si="1"/>
        <v>0.998</v>
      </c>
      <c r="H18" s="84">
        <v>1230754</v>
      </c>
      <c r="I18" s="84">
        <v>92844</v>
      </c>
      <c r="J18" s="84">
        <v>223538</v>
      </c>
      <c r="K18" s="84">
        <v>30914</v>
      </c>
      <c r="L18" s="84">
        <v>69754</v>
      </c>
      <c r="M18" s="84">
        <v>5433</v>
      </c>
      <c r="N18" s="84">
        <v>89650</v>
      </c>
      <c r="O18" s="84"/>
      <c r="P18" s="84">
        <f t="shared" si="2"/>
        <v>30448</v>
      </c>
    </row>
    <row r="19" spans="1:16" ht="12.75">
      <c r="A19" s="82" t="s">
        <v>160</v>
      </c>
      <c r="B19" s="81" t="s">
        <v>161</v>
      </c>
      <c r="C19" s="111">
        <v>422</v>
      </c>
      <c r="D19" s="111">
        <f t="shared" si="0"/>
        <v>387</v>
      </c>
      <c r="E19" s="147">
        <v>1975061</v>
      </c>
      <c r="F19" s="147">
        <v>1960684</v>
      </c>
      <c r="G19" s="171">
        <f t="shared" si="1"/>
        <v>0.993</v>
      </c>
      <c r="H19" s="84">
        <v>1271989</v>
      </c>
      <c r="I19" s="84">
        <v>90821</v>
      </c>
      <c r="J19" s="84">
        <v>229059</v>
      </c>
      <c r="K19" s="84">
        <v>32315</v>
      </c>
      <c r="L19" s="84">
        <v>211290</v>
      </c>
      <c r="M19" s="84">
        <v>0</v>
      </c>
      <c r="N19" s="84">
        <v>78864</v>
      </c>
      <c r="O19" s="84"/>
      <c r="P19" s="84">
        <f t="shared" si="2"/>
        <v>46346</v>
      </c>
    </row>
    <row r="20" spans="1:16" ht="12.75">
      <c r="A20" s="82" t="s">
        <v>131</v>
      </c>
      <c r="B20" s="81" t="s">
        <v>162</v>
      </c>
      <c r="C20" s="111">
        <v>362</v>
      </c>
      <c r="D20" s="111">
        <f t="shared" si="0"/>
        <v>440</v>
      </c>
      <c r="E20" s="147">
        <v>1941163</v>
      </c>
      <c r="F20" s="147">
        <v>1911897</v>
      </c>
      <c r="G20" s="171">
        <f t="shared" si="1"/>
        <v>0.985</v>
      </c>
      <c r="H20" s="84">
        <v>1402477</v>
      </c>
      <c r="I20" s="84">
        <v>106937</v>
      </c>
      <c r="J20" s="84">
        <v>239904</v>
      </c>
      <c r="K20" s="84">
        <v>34025</v>
      </c>
      <c r="L20" s="84">
        <v>16850</v>
      </c>
      <c r="M20" s="84">
        <v>500</v>
      </c>
      <c r="N20" s="84">
        <v>84807</v>
      </c>
      <c r="O20" s="84"/>
      <c r="P20" s="84">
        <f t="shared" si="2"/>
        <v>26397</v>
      </c>
    </row>
    <row r="21" spans="1:16" ht="12.75">
      <c r="A21" s="82" t="s">
        <v>132</v>
      </c>
      <c r="B21" s="81" t="s">
        <v>163</v>
      </c>
      <c r="C21" s="111">
        <v>385</v>
      </c>
      <c r="D21" s="111">
        <f t="shared" si="0"/>
        <v>490</v>
      </c>
      <c r="E21" s="147">
        <v>2299310</v>
      </c>
      <c r="F21" s="147">
        <v>2266054</v>
      </c>
      <c r="G21" s="171">
        <f t="shared" si="1"/>
        <v>0.986</v>
      </c>
      <c r="H21" s="84">
        <v>1599925</v>
      </c>
      <c r="I21" s="84">
        <v>114307</v>
      </c>
      <c r="J21" s="84">
        <v>274308</v>
      </c>
      <c r="K21" s="84">
        <v>39512</v>
      </c>
      <c r="L21" s="84">
        <v>124711</v>
      </c>
      <c r="M21" s="84">
        <v>2000</v>
      </c>
      <c r="N21" s="84">
        <v>85123</v>
      </c>
      <c r="O21" s="84"/>
      <c r="P21" s="84">
        <f t="shared" si="2"/>
        <v>26168</v>
      </c>
    </row>
    <row r="22" spans="1:16" ht="12.75">
      <c r="A22" s="82" t="s">
        <v>133</v>
      </c>
      <c r="B22" s="81" t="s">
        <v>164</v>
      </c>
      <c r="C22" s="111">
        <v>495</v>
      </c>
      <c r="D22" s="111">
        <f t="shared" si="0"/>
        <v>349</v>
      </c>
      <c r="E22" s="147">
        <v>2076975</v>
      </c>
      <c r="F22" s="147">
        <v>2071274</v>
      </c>
      <c r="G22" s="171">
        <f t="shared" si="1"/>
        <v>0.997</v>
      </c>
      <c r="H22" s="84">
        <v>1426631</v>
      </c>
      <c r="I22" s="84">
        <v>101333</v>
      </c>
      <c r="J22" s="84">
        <v>252144</v>
      </c>
      <c r="K22" s="84">
        <v>35835</v>
      </c>
      <c r="L22" s="84">
        <v>127598</v>
      </c>
      <c r="M22" s="84">
        <v>1264</v>
      </c>
      <c r="N22" s="84">
        <v>84388</v>
      </c>
      <c r="O22" s="84"/>
      <c r="P22" s="84">
        <f t="shared" si="2"/>
        <v>42081</v>
      </c>
    </row>
    <row r="23" spans="1:16" ht="12.75">
      <c r="A23" s="82" t="s">
        <v>135</v>
      </c>
      <c r="B23" s="81" t="s">
        <v>165</v>
      </c>
      <c r="C23" s="111">
        <v>320</v>
      </c>
      <c r="D23" s="111">
        <f t="shared" si="0"/>
        <v>406</v>
      </c>
      <c r="E23" s="147">
        <v>1559895</v>
      </c>
      <c r="F23" s="147">
        <v>1559895</v>
      </c>
      <c r="G23" s="171">
        <f t="shared" si="1"/>
        <v>1</v>
      </c>
      <c r="H23" s="84">
        <v>1102101</v>
      </c>
      <c r="I23" s="84">
        <v>77309</v>
      </c>
      <c r="J23" s="84">
        <v>191326</v>
      </c>
      <c r="K23" s="84">
        <v>26680</v>
      </c>
      <c r="L23" s="84">
        <v>76900</v>
      </c>
      <c r="M23" s="84">
        <v>3000</v>
      </c>
      <c r="N23" s="84">
        <v>61747</v>
      </c>
      <c r="O23" s="84"/>
      <c r="P23" s="84">
        <f t="shared" si="2"/>
        <v>20832</v>
      </c>
    </row>
    <row r="24" spans="1:16" ht="12.75">
      <c r="A24" s="82" t="s">
        <v>136</v>
      </c>
      <c r="B24" s="81" t="s">
        <v>166</v>
      </c>
      <c r="C24" s="111">
        <v>428</v>
      </c>
      <c r="D24" s="111">
        <f t="shared" si="0"/>
        <v>478</v>
      </c>
      <c r="E24" s="147">
        <v>2459924</v>
      </c>
      <c r="F24" s="147">
        <v>2452622</v>
      </c>
      <c r="G24" s="171">
        <f t="shared" si="1"/>
        <v>0.997</v>
      </c>
      <c r="H24" s="84">
        <v>1744534</v>
      </c>
      <c r="I24" s="84">
        <v>123454</v>
      </c>
      <c r="J24" s="84">
        <v>294995</v>
      </c>
      <c r="K24" s="84">
        <v>41499</v>
      </c>
      <c r="L24" s="84">
        <v>125168</v>
      </c>
      <c r="M24" s="84">
        <v>3600</v>
      </c>
      <c r="N24" s="84">
        <v>91055</v>
      </c>
      <c r="O24" s="84"/>
      <c r="P24" s="84">
        <f t="shared" si="2"/>
        <v>28317</v>
      </c>
    </row>
    <row r="25" spans="1:16" ht="12.75">
      <c r="A25" s="82" t="s">
        <v>137</v>
      </c>
      <c r="B25" s="81" t="s">
        <v>167</v>
      </c>
      <c r="C25" s="111">
        <v>226</v>
      </c>
      <c r="D25" s="111">
        <f t="shared" si="0"/>
        <v>403</v>
      </c>
      <c r="E25" s="147">
        <v>1093583</v>
      </c>
      <c r="F25" s="147">
        <v>1093476</v>
      </c>
      <c r="G25" s="171">
        <f t="shared" si="1"/>
        <v>1</v>
      </c>
      <c r="H25" s="84">
        <v>782411</v>
      </c>
      <c r="I25" s="84">
        <v>60365</v>
      </c>
      <c r="J25" s="84">
        <v>152010</v>
      </c>
      <c r="K25" s="84">
        <v>19956</v>
      </c>
      <c r="L25" s="84">
        <v>18022</v>
      </c>
      <c r="M25" s="84">
        <v>600</v>
      </c>
      <c r="N25" s="84">
        <v>42820</v>
      </c>
      <c r="O25" s="84"/>
      <c r="P25" s="84">
        <f t="shared" si="2"/>
        <v>17292</v>
      </c>
    </row>
    <row r="26" spans="1:16" ht="12.75">
      <c r="A26" s="82" t="s">
        <v>168</v>
      </c>
      <c r="B26" s="81" t="s">
        <v>169</v>
      </c>
      <c r="C26" s="111">
        <v>147</v>
      </c>
      <c r="D26" s="111">
        <f t="shared" si="0"/>
        <v>128</v>
      </c>
      <c r="E26" s="147">
        <v>236918</v>
      </c>
      <c r="F26" s="147">
        <v>225204</v>
      </c>
      <c r="G26" s="171">
        <f t="shared" si="1"/>
        <v>0.951</v>
      </c>
      <c r="H26" s="84">
        <v>156368</v>
      </c>
      <c r="I26" s="84">
        <v>10990</v>
      </c>
      <c r="J26" s="84">
        <v>28526</v>
      </c>
      <c r="K26" s="84">
        <v>3799</v>
      </c>
      <c r="L26" s="84">
        <v>1267</v>
      </c>
      <c r="M26" s="84">
        <v>1500</v>
      </c>
      <c r="N26" s="84">
        <v>8539</v>
      </c>
      <c r="O26" s="84"/>
      <c r="P26" s="84">
        <f t="shared" si="2"/>
        <v>14215</v>
      </c>
    </row>
    <row r="27" spans="1:16" ht="12.75">
      <c r="A27" s="80" t="s">
        <v>170</v>
      </c>
      <c r="B27" s="81" t="s">
        <v>171</v>
      </c>
      <c r="C27" s="111">
        <v>136</v>
      </c>
      <c r="D27" s="111">
        <f t="shared" si="0"/>
        <v>365</v>
      </c>
      <c r="E27" s="147">
        <v>594970</v>
      </c>
      <c r="F27" s="147">
        <v>594970</v>
      </c>
      <c r="G27" s="171">
        <f t="shared" si="1"/>
        <v>1</v>
      </c>
      <c r="H27" s="84">
        <v>421108</v>
      </c>
      <c r="I27" s="84">
        <v>31656</v>
      </c>
      <c r="J27" s="84">
        <v>77406</v>
      </c>
      <c r="K27" s="84">
        <v>11014</v>
      </c>
      <c r="L27" s="84">
        <v>14819</v>
      </c>
      <c r="M27" s="84"/>
      <c r="N27" s="84">
        <v>27459</v>
      </c>
      <c r="O27" s="84"/>
      <c r="P27" s="84">
        <f t="shared" si="2"/>
        <v>11508</v>
      </c>
    </row>
    <row r="28" spans="1:16" ht="12.75">
      <c r="A28" s="80" t="s">
        <v>172</v>
      </c>
      <c r="B28" s="81" t="s">
        <v>173</v>
      </c>
      <c r="C28" s="111">
        <v>239</v>
      </c>
      <c r="D28" s="111">
        <f t="shared" si="0"/>
        <v>400</v>
      </c>
      <c r="E28" s="147">
        <v>1182393</v>
      </c>
      <c r="F28" s="147">
        <v>1147504</v>
      </c>
      <c r="G28" s="171">
        <f t="shared" si="1"/>
        <v>0.97</v>
      </c>
      <c r="H28" s="84">
        <v>852232</v>
      </c>
      <c r="I28" s="84">
        <v>59318</v>
      </c>
      <c r="J28" s="84">
        <v>148594</v>
      </c>
      <c r="K28" s="84">
        <v>21073</v>
      </c>
      <c r="L28" s="84"/>
      <c r="M28" s="84"/>
      <c r="N28" s="84">
        <v>49367</v>
      </c>
      <c r="O28" s="84"/>
      <c r="P28" s="84">
        <f t="shared" si="2"/>
        <v>16920</v>
      </c>
    </row>
    <row r="29" spans="1:16" ht="12.75">
      <c r="A29" s="80" t="s">
        <v>46</v>
      </c>
      <c r="B29" s="80"/>
      <c r="C29" s="87">
        <f>SUM(C6:C28)</f>
        <v>7575</v>
      </c>
      <c r="D29" s="111">
        <f t="shared" si="0"/>
        <v>426</v>
      </c>
      <c r="E29" s="153">
        <f>SUM(E6:E28)</f>
        <v>39132527</v>
      </c>
      <c r="F29" s="153">
        <f>SUM(F6:F28)</f>
        <v>38765790</v>
      </c>
      <c r="G29" s="191">
        <f t="shared" si="1"/>
        <v>0.991</v>
      </c>
      <c r="H29" s="87">
        <f aca="true" t="shared" si="3" ref="H29:P29">SUM(H6:H28)</f>
        <v>26569687</v>
      </c>
      <c r="I29" s="87">
        <f t="shared" si="3"/>
        <v>1939251</v>
      </c>
      <c r="J29" s="87">
        <f t="shared" si="3"/>
        <v>4595791</v>
      </c>
      <c r="K29" s="87">
        <f t="shared" si="3"/>
        <v>650401</v>
      </c>
      <c r="L29" s="87">
        <f t="shared" si="3"/>
        <v>1780466</v>
      </c>
      <c r="M29" s="87">
        <f t="shared" si="3"/>
        <v>681419</v>
      </c>
      <c r="N29" s="87">
        <f t="shared" si="3"/>
        <v>1556728</v>
      </c>
      <c r="O29" s="87">
        <f t="shared" si="3"/>
        <v>6000</v>
      </c>
      <c r="P29" s="87">
        <f t="shared" si="3"/>
        <v>986047</v>
      </c>
    </row>
    <row r="30" spans="1:16" ht="12.75">
      <c r="A30" s="112"/>
      <c r="B30" s="112"/>
      <c r="C30" s="112"/>
      <c r="D30" s="113"/>
      <c r="E30" s="183"/>
      <c r="F30" s="184"/>
      <c r="G30" s="112"/>
      <c r="H30" s="114"/>
      <c r="I30" s="112"/>
      <c r="J30" s="112"/>
      <c r="K30" s="112"/>
      <c r="L30" s="112"/>
      <c r="M30" s="112"/>
      <c r="N30" s="112"/>
      <c r="O30" s="112"/>
      <c r="P30" s="93"/>
    </row>
    <row r="31" spans="4:16" ht="12.75">
      <c r="D31" s="115"/>
      <c r="E31" s="95"/>
      <c r="F31" s="192"/>
      <c r="H31" s="116"/>
      <c r="P31" s="93"/>
    </row>
    <row r="32" spans="1:16" ht="12.75">
      <c r="A32" s="117"/>
      <c r="B32" s="94"/>
      <c r="C32" s="118"/>
      <c r="D32" s="118"/>
      <c r="E32" s="129"/>
      <c r="F32" s="185"/>
      <c r="G32" s="119"/>
      <c r="H32" s="119"/>
      <c r="I32" s="118"/>
      <c r="J32" s="120"/>
      <c r="K32" s="120"/>
      <c r="L32" s="120"/>
      <c r="M32" s="122"/>
      <c r="N32" s="123"/>
      <c r="O32" s="123"/>
      <c r="P32" s="93"/>
    </row>
    <row r="33" spans="1:16" ht="12.75">
      <c r="A33" s="117"/>
      <c r="B33" s="94"/>
      <c r="C33" s="118"/>
      <c r="D33" s="118"/>
      <c r="E33" s="129"/>
      <c r="F33" s="185"/>
      <c r="G33" s="119"/>
      <c r="H33" s="119"/>
      <c r="I33" s="118"/>
      <c r="J33" s="120"/>
      <c r="K33" s="120"/>
      <c r="L33" s="120"/>
      <c r="M33" s="122"/>
      <c r="N33" s="123"/>
      <c r="O33" s="123"/>
      <c r="P33" s="93"/>
    </row>
    <row r="34" spans="1:16" ht="12.75">
      <c r="A34" s="117"/>
      <c r="B34" s="124"/>
      <c r="C34" s="118"/>
      <c r="D34" s="118"/>
      <c r="E34" s="129"/>
      <c r="F34" s="185"/>
      <c r="G34" s="119"/>
      <c r="H34" s="118"/>
      <c r="I34" s="118"/>
      <c r="J34" s="125"/>
      <c r="K34" s="120"/>
      <c r="L34" s="120"/>
      <c r="M34" s="122"/>
      <c r="N34" s="123"/>
      <c r="O34" s="123"/>
      <c r="P34" s="93"/>
    </row>
    <row r="35" spans="1:16" ht="12.75">
      <c r="A35" s="117"/>
      <c r="B35" s="94"/>
      <c r="C35" s="118"/>
      <c r="D35" s="118"/>
      <c r="E35" s="129"/>
      <c r="F35" s="185"/>
      <c r="G35" s="119"/>
      <c r="H35" s="119"/>
      <c r="I35" s="118"/>
      <c r="J35" s="120"/>
      <c r="K35" s="120"/>
      <c r="L35" s="120"/>
      <c r="M35" s="122"/>
      <c r="N35" s="123"/>
      <c r="O35" s="123"/>
      <c r="P35" s="93"/>
    </row>
    <row r="36" spans="1:16" ht="12.75">
      <c r="A36" s="117"/>
      <c r="B36" s="94"/>
      <c r="C36" s="118"/>
      <c r="D36" s="118"/>
      <c r="E36" s="129"/>
      <c r="F36" s="185"/>
      <c r="G36" s="119"/>
      <c r="H36" s="119"/>
      <c r="I36" s="118"/>
      <c r="J36" s="120"/>
      <c r="K36" s="120"/>
      <c r="L36" s="120"/>
      <c r="M36" s="122"/>
      <c r="N36" s="123"/>
      <c r="O36" s="123"/>
      <c r="P36" s="93"/>
    </row>
    <row r="37" spans="1:16" ht="12.75">
      <c r="A37" s="117"/>
      <c r="B37" s="93"/>
      <c r="C37" s="118"/>
      <c r="D37" s="118"/>
      <c r="E37" s="129"/>
      <c r="F37" s="186"/>
      <c r="G37" s="118"/>
      <c r="H37" s="118"/>
      <c r="I37" s="118"/>
      <c r="J37" s="125"/>
      <c r="K37" s="118"/>
      <c r="L37" s="118"/>
      <c r="M37" s="122"/>
      <c r="N37" s="123"/>
      <c r="O37" s="123"/>
      <c r="P37" s="93"/>
    </row>
    <row r="38" spans="1:16" ht="12.75">
      <c r="A38" s="117"/>
      <c r="B38" s="126"/>
      <c r="C38" s="118"/>
      <c r="D38" s="118"/>
      <c r="E38" s="185"/>
      <c r="F38" s="186"/>
      <c r="G38" s="119"/>
      <c r="H38" s="119"/>
      <c r="I38" s="118"/>
      <c r="J38" s="119"/>
      <c r="K38" s="119"/>
      <c r="L38" s="119"/>
      <c r="M38" s="122"/>
      <c r="N38" s="123"/>
      <c r="O38" s="123"/>
      <c r="P38" s="93"/>
    </row>
    <row r="39" spans="1:16" ht="12.75">
      <c r="A39" s="117"/>
      <c r="B39" s="126"/>
      <c r="C39" s="118"/>
      <c r="D39" s="118"/>
      <c r="E39" s="185"/>
      <c r="F39" s="186"/>
      <c r="G39" s="119"/>
      <c r="H39" s="119"/>
      <c r="I39" s="118"/>
      <c r="J39" s="119"/>
      <c r="K39" s="119"/>
      <c r="L39" s="119"/>
      <c r="M39" s="122"/>
      <c r="N39" s="123"/>
      <c r="O39" s="123"/>
      <c r="P39" s="93"/>
    </row>
    <row r="40" spans="1:16" s="135" customFormat="1" ht="12.75">
      <c r="A40" s="127"/>
      <c r="B40" s="128"/>
      <c r="C40" s="129"/>
      <c r="D40" s="129"/>
      <c r="E40" s="129"/>
      <c r="F40" s="130"/>
      <c r="G40" s="130"/>
      <c r="H40" s="130"/>
      <c r="I40" s="131"/>
      <c r="J40" s="132"/>
      <c r="K40" s="132"/>
      <c r="L40" s="132"/>
      <c r="M40" s="133"/>
      <c r="N40" s="134"/>
      <c r="O40" s="134"/>
      <c r="P40" s="128"/>
    </row>
    <row r="41" spans="1:16" ht="12.75">
      <c r="A41" s="109"/>
      <c r="B41" s="136"/>
      <c r="C41" s="136"/>
      <c r="D41" s="137"/>
      <c r="E41" s="187"/>
      <c r="F41" s="188"/>
      <c r="G41" s="139"/>
      <c r="H41" s="140"/>
      <c r="I41" s="141"/>
      <c r="J41" s="142"/>
      <c r="K41" s="142"/>
      <c r="L41" s="142"/>
      <c r="M41" s="143"/>
      <c r="N41" s="123"/>
      <c r="O41" s="123"/>
      <c r="P41" s="93"/>
    </row>
    <row r="42" spans="1:16" ht="12.75">
      <c r="A42" s="93"/>
      <c r="B42" s="116"/>
      <c r="C42" s="116"/>
      <c r="D42" s="137"/>
      <c r="E42" s="176"/>
      <c r="F42" s="129"/>
      <c r="G42" s="141"/>
      <c r="H42" s="138"/>
      <c r="I42" s="138"/>
      <c r="J42" s="144"/>
      <c r="K42" s="144"/>
      <c r="L42" s="144"/>
      <c r="M42" s="136"/>
      <c r="N42" s="123"/>
      <c r="O42" s="123"/>
      <c r="P42" s="93"/>
    </row>
    <row r="43" spans="1:16" ht="12.75">
      <c r="A43" s="109"/>
      <c r="B43" s="136"/>
      <c r="C43" s="136"/>
      <c r="D43" s="137"/>
      <c r="E43" s="187"/>
      <c r="F43" s="189"/>
      <c r="G43" s="144"/>
      <c r="H43" s="97"/>
      <c r="I43" s="121"/>
      <c r="J43" s="121"/>
      <c r="K43" s="121"/>
      <c r="L43" s="121"/>
      <c r="M43" s="121"/>
      <c r="N43" s="123"/>
      <c r="O43" s="123"/>
      <c r="P43" s="93"/>
    </row>
    <row r="44" spans="1:16" ht="12.75">
      <c r="A44" s="93"/>
      <c r="B44" s="93"/>
      <c r="C44" s="93"/>
      <c r="D44" s="96"/>
      <c r="E44" s="176"/>
      <c r="F44" s="128"/>
      <c r="G44" s="116"/>
      <c r="H44" s="116"/>
      <c r="I44" s="93"/>
      <c r="J44" s="93"/>
      <c r="K44" s="93"/>
      <c r="L44" s="93"/>
      <c r="M44" s="93"/>
      <c r="N44" s="93"/>
      <c r="O44" s="93"/>
      <c r="P44" s="93"/>
    </row>
    <row r="45" spans="1:16" ht="12.75">
      <c r="A45" s="93"/>
      <c r="B45" s="109"/>
      <c r="C45" s="93"/>
      <c r="D45" s="96"/>
      <c r="E45" s="176"/>
      <c r="F45" s="128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2.75">
      <c r="A46" s="93"/>
      <c r="B46" s="93"/>
      <c r="C46" s="93"/>
      <c r="D46" s="96"/>
      <c r="E46" s="176"/>
      <c r="F46" s="128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2.75">
      <c r="A47" s="93"/>
      <c r="B47" s="93"/>
      <c r="C47" s="93"/>
      <c r="D47" s="96"/>
      <c r="E47" s="176"/>
      <c r="F47" s="128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2.75">
      <c r="A48" s="93"/>
      <c r="B48" s="93"/>
      <c r="C48" s="93"/>
      <c r="D48" s="96"/>
      <c r="E48" s="176"/>
      <c r="F48" s="128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2.75">
      <c r="A49" s="93"/>
      <c r="B49" s="93"/>
      <c r="C49" s="93"/>
      <c r="D49" s="96"/>
      <c r="E49" s="176"/>
      <c r="F49" s="128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spans="1:16" ht="12.75">
      <c r="A50" s="93"/>
      <c r="B50" s="93"/>
      <c r="C50" s="93"/>
      <c r="D50" s="96"/>
      <c r="E50" s="176"/>
      <c r="F50" s="128"/>
      <c r="G50" s="93"/>
      <c r="H50" s="93"/>
      <c r="I50" s="93"/>
      <c r="J50" s="93"/>
      <c r="K50" s="93"/>
      <c r="L50" s="93"/>
      <c r="M50" s="93"/>
      <c r="N50" s="93"/>
      <c r="O50" s="93"/>
      <c r="P50" s="93"/>
    </row>
  </sheetData>
  <printOptions/>
  <pageMargins left="0.54" right="0" top="1.02" bottom="0.3937007874015748" header="0.78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5" sqref="C35"/>
    </sheetView>
  </sheetViews>
  <sheetFormatPr defaultColWidth="9.00390625" defaultRowHeight="12.75"/>
  <cols>
    <col min="1" max="1" width="19.625" style="0" customWidth="1"/>
    <col min="2" max="2" width="6.875" style="78" customWidth="1"/>
    <col min="3" max="3" width="11.25390625" style="135" customWidth="1"/>
    <col min="4" max="4" width="11.875" style="135" customWidth="1"/>
    <col min="5" max="5" width="8.25390625" style="0" customWidth="1"/>
    <col min="6" max="6" width="7.875" style="0" customWidth="1"/>
    <col min="7" max="7" width="7.375" style="0" customWidth="1"/>
    <col min="8" max="8" width="6.875" style="0" customWidth="1"/>
    <col min="9" max="10" width="6.625" style="0" customWidth="1"/>
    <col min="11" max="11" width="7.625" style="0" customWidth="1"/>
    <col min="12" max="12" width="7.25390625" style="0" customWidth="1"/>
    <col min="13" max="13" width="6.625" style="0" customWidth="1"/>
    <col min="14" max="14" width="7.25390625" style="0" customWidth="1"/>
    <col min="15" max="15" width="17.25390625" style="0" customWidth="1"/>
  </cols>
  <sheetData>
    <row r="1" ht="12.75">
      <c r="O1" s="32" t="s">
        <v>247</v>
      </c>
    </row>
    <row r="2" spans="1:15" ht="15.75" customHeight="1">
      <c r="A2" s="265" t="s">
        <v>244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4" ht="15.75" customHeight="1">
      <c r="A3" s="145" t="s">
        <v>174</v>
      </c>
      <c r="B3" s="103"/>
      <c r="C3" s="180"/>
      <c r="D3" s="180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5" ht="21.75">
      <c r="A4" s="172" t="s">
        <v>234</v>
      </c>
      <c r="B4" s="172" t="s">
        <v>235</v>
      </c>
      <c r="C4" s="182" t="s">
        <v>238</v>
      </c>
      <c r="D4" s="182" t="s">
        <v>239</v>
      </c>
      <c r="E4" s="173" t="s">
        <v>240</v>
      </c>
      <c r="F4" s="79" t="s">
        <v>39</v>
      </c>
      <c r="G4" s="79" t="s">
        <v>40</v>
      </c>
      <c r="H4" s="79" t="s">
        <v>41</v>
      </c>
      <c r="I4" s="79" t="s">
        <v>42</v>
      </c>
      <c r="J4" s="79" t="s">
        <v>104</v>
      </c>
      <c r="K4" s="79" t="s">
        <v>57</v>
      </c>
      <c r="L4" s="79" t="s">
        <v>105</v>
      </c>
      <c r="M4" s="79" t="s">
        <v>106</v>
      </c>
      <c r="N4" s="79" t="s">
        <v>89</v>
      </c>
      <c r="O4" s="167" t="s">
        <v>233</v>
      </c>
    </row>
    <row r="5" spans="1:15" ht="12.75">
      <c r="A5" s="146" t="s">
        <v>139</v>
      </c>
      <c r="B5" s="111" t="s">
        <v>140</v>
      </c>
      <c r="C5" s="147">
        <v>69394</v>
      </c>
      <c r="D5" s="147">
        <v>68856</v>
      </c>
      <c r="E5" s="171">
        <f>D5/C5</f>
        <v>0.992</v>
      </c>
      <c r="F5" s="84">
        <v>36732</v>
      </c>
      <c r="G5" s="84">
        <v>2246</v>
      </c>
      <c r="H5" s="84">
        <v>6991</v>
      </c>
      <c r="I5" s="84">
        <v>912</v>
      </c>
      <c r="J5" s="84">
        <v>15000</v>
      </c>
      <c r="K5" s="84"/>
      <c r="L5" s="84">
        <v>1988</v>
      </c>
      <c r="M5" s="84"/>
      <c r="N5" s="84"/>
      <c r="O5" s="84">
        <f>D5-(SUM(F5:N5))</f>
        <v>4987</v>
      </c>
    </row>
    <row r="6" spans="1:15" ht="12.75">
      <c r="A6" s="146" t="s">
        <v>107</v>
      </c>
      <c r="B6" s="111">
        <v>2</v>
      </c>
      <c r="C6" s="147">
        <v>141589</v>
      </c>
      <c r="D6" s="147">
        <v>140907</v>
      </c>
      <c r="E6" s="171">
        <f aca="true" t="shared" si="0" ref="E6:E43">D6/C6</f>
        <v>0.995</v>
      </c>
      <c r="F6" s="84">
        <v>100974</v>
      </c>
      <c r="G6" s="84">
        <v>7407</v>
      </c>
      <c r="H6" s="84">
        <v>15069</v>
      </c>
      <c r="I6" s="84">
        <v>2244</v>
      </c>
      <c r="J6" s="84"/>
      <c r="K6" s="84"/>
      <c r="L6" s="84">
        <v>5215</v>
      </c>
      <c r="M6" s="84"/>
      <c r="N6" s="84"/>
      <c r="O6" s="84">
        <f aca="true" t="shared" si="1" ref="O6:O42">D6-(SUM(F6:N6))</f>
        <v>9998</v>
      </c>
    </row>
    <row r="7" spans="1:15" ht="12.75">
      <c r="A7" s="146" t="s">
        <v>142</v>
      </c>
      <c r="B7" s="111" t="s">
        <v>143</v>
      </c>
      <c r="C7" s="147">
        <v>85129</v>
      </c>
      <c r="D7" s="147">
        <v>83902</v>
      </c>
      <c r="E7" s="171">
        <f t="shared" si="0"/>
        <v>0.986</v>
      </c>
      <c r="F7" s="84">
        <v>44519</v>
      </c>
      <c r="G7" s="84">
        <v>2799</v>
      </c>
      <c r="H7" s="84">
        <v>8412</v>
      </c>
      <c r="I7" s="84">
        <v>1146</v>
      </c>
      <c r="J7" s="84">
        <v>22337</v>
      </c>
      <c r="K7" s="84"/>
      <c r="L7" s="84">
        <v>1988</v>
      </c>
      <c r="M7" s="84"/>
      <c r="N7" s="84"/>
      <c r="O7" s="84">
        <f t="shared" si="1"/>
        <v>2701</v>
      </c>
    </row>
    <row r="8" spans="1:15" ht="12.75">
      <c r="A8" s="146" t="s">
        <v>108</v>
      </c>
      <c r="B8" s="111">
        <v>6</v>
      </c>
      <c r="C8" s="147">
        <v>216385</v>
      </c>
      <c r="D8" s="147">
        <v>213032</v>
      </c>
      <c r="E8" s="171">
        <f t="shared" si="0"/>
        <v>0.985</v>
      </c>
      <c r="F8" s="84">
        <v>145514</v>
      </c>
      <c r="G8" s="84">
        <v>10821</v>
      </c>
      <c r="H8" s="84">
        <v>25709</v>
      </c>
      <c r="I8" s="84">
        <v>3463</v>
      </c>
      <c r="J8" s="84">
        <v>11603</v>
      </c>
      <c r="K8" s="84">
        <v>600</v>
      </c>
      <c r="L8" s="84">
        <v>10923</v>
      </c>
      <c r="M8" s="84"/>
      <c r="N8" s="84"/>
      <c r="O8" s="84">
        <f t="shared" si="1"/>
        <v>4399</v>
      </c>
    </row>
    <row r="9" spans="1:15" ht="12.75">
      <c r="A9" s="146" t="s">
        <v>144</v>
      </c>
      <c r="B9" s="111" t="s">
        <v>145</v>
      </c>
      <c r="C9" s="147">
        <v>117623</v>
      </c>
      <c r="D9" s="147">
        <v>116006</v>
      </c>
      <c r="E9" s="171">
        <f t="shared" si="0"/>
        <v>0.986</v>
      </c>
      <c r="F9" s="84">
        <v>80964</v>
      </c>
      <c r="G9" s="84">
        <v>6512</v>
      </c>
      <c r="H9" s="84">
        <v>15172</v>
      </c>
      <c r="I9" s="84">
        <v>2091</v>
      </c>
      <c r="J9" s="84">
        <v>1747</v>
      </c>
      <c r="K9" s="84"/>
      <c r="L9" s="84">
        <v>4023</v>
      </c>
      <c r="M9" s="84"/>
      <c r="N9" s="84">
        <v>5000</v>
      </c>
      <c r="O9" s="84">
        <f t="shared" si="1"/>
        <v>497</v>
      </c>
    </row>
    <row r="10" spans="1:15" ht="12.75">
      <c r="A10" s="146" t="s">
        <v>109</v>
      </c>
      <c r="B10" s="111">
        <v>8</v>
      </c>
      <c r="C10" s="147">
        <v>210797</v>
      </c>
      <c r="D10" s="147">
        <v>208863</v>
      </c>
      <c r="E10" s="171">
        <f t="shared" si="0"/>
        <v>0.991</v>
      </c>
      <c r="F10" s="84">
        <v>151195</v>
      </c>
      <c r="G10" s="84">
        <v>9334</v>
      </c>
      <c r="H10" s="84">
        <v>21710</v>
      </c>
      <c r="I10" s="84">
        <v>3344</v>
      </c>
      <c r="J10" s="84">
        <v>14730</v>
      </c>
      <c r="K10" s="84"/>
      <c r="L10" s="84">
        <v>7051</v>
      </c>
      <c r="M10" s="84"/>
      <c r="N10" s="84"/>
      <c r="O10" s="84">
        <f t="shared" si="1"/>
        <v>1499</v>
      </c>
    </row>
    <row r="11" spans="1:15" ht="12.75">
      <c r="A11" s="146" t="s">
        <v>147</v>
      </c>
      <c r="B11" s="111" t="s">
        <v>148</v>
      </c>
      <c r="C11" s="147">
        <v>61454</v>
      </c>
      <c r="D11" s="147">
        <v>55403</v>
      </c>
      <c r="E11" s="171">
        <f t="shared" si="0"/>
        <v>0.902</v>
      </c>
      <c r="F11" s="84">
        <v>38431</v>
      </c>
      <c r="G11" s="84">
        <v>2243</v>
      </c>
      <c r="H11" s="84">
        <v>6501</v>
      </c>
      <c r="I11" s="84">
        <v>973</v>
      </c>
      <c r="J11" s="84">
        <v>3664</v>
      </c>
      <c r="K11" s="84"/>
      <c r="L11" s="84">
        <v>1590</v>
      </c>
      <c r="M11" s="84"/>
      <c r="N11" s="84"/>
      <c r="O11" s="84">
        <f t="shared" si="1"/>
        <v>2001</v>
      </c>
    </row>
    <row r="12" spans="1:15" ht="12.75">
      <c r="A12" s="146" t="s">
        <v>110</v>
      </c>
      <c r="B12" s="111">
        <v>10</v>
      </c>
      <c r="C12" s="147">
        <v>337513</v>
      </c>
      <c r="D12" s="147">
        <v>332227</v>
      </c>
      <c r="E12" s="171">
        <f t="shared" si="0"/>
        <v>0.984</v>
      </c>
      <c r="F12" s="84">
        <v>224235</v>
      </c>
      <c r="G12" s="84">
        <v>16583</v>
      </c>
      <c r="H12" s="84">
        <v>36363</v>
      </c>
      <c r="I12" s="84">
        <v>5393</v>
      </c>
      <c r="J12" s="84">
        <v>31743</v>
      </c>
      <c r="K12" s="84"/>
      <c r="L12" s="84">
        <v>12910</v>
      </c>
      <c r="M12" s="84"/>
      <c r="N12" s="84"/>
      <c r="O12" s="84">
        <f t="shared" si="1"/>
        <v>5000</v>
      </c>
    </row>
    <row r="13" spans="1:15" ht="12.75">
      <c r="A13" s="146" t="s">
        <v>111</v>
      </c>
      <c r="B13" s="111">
        <v>11</v>
      </c>
      <c r="C13" s="147">
        <v>161271</v>
      </c>
      <c r="D13" s="147">
        <v>159031</v>
      </c>
      <c r="E13" s="171">
        <f t="shared" si="0"/>
        <v>0.986</v>
      </c>
      <c r="F13" s="84">
        <v>117992</v>
      </c>
      <c r="G13" s="84">
        <v>7371</v>
      </c>
      <c r="H13" s="84">
        <v>19475</v>
      </c>
      <c r="I13" s="84">
        <v>2738</v>
      </c>
      <c r="J13" s="84">
        <v>4000</v>
      </c>
      <c r="K13" s="84"/>
      <c r="L13" s="84">
        <v>6455</v>
      </c>
      <c r="M13" s="84"/>
      <c r="N13" s="84"/>
      <c r="O13" s="84">
        <f t="shared" si="1"/>
        <v>1000</v>
      </c>
    </row>
    <row r="14" spans="1:15" ht="12.75">
      <c r="A14" s="146" t="s">
        <v>112</v>
      </c>
      <c r="B14" s="111">
        <v>12</v>
      </c>
      <c r="C14" s="147">
        <v>249618</v>
      </c>
      <c r="D14" s="147">
        <v>243222</v>
      </c>
      <c r="E14" s="171">
        <f t="shared" si="0"/>
        <v>0.974</v>
      </c>
      <c r="F14" s="84">
        <v>164144</v>
      </c>
      <c r="G14" s="84">
        <v>12202</v>
      </c>
      <c r="H14" s="84">
        <v>29659</v>
      </c>
      <c r="I14" s="84">
        <v>4102</v>
      </c>
      <c r="J14" s="84">
        <v>14232</v>
      </c>
      <c r="K14" s="84">
        <v>1000</v>
      </c>
      <c r="L14" s="84">
        <v>9683</v>
      </c>
      <c r="M14" s="84"/>
      <c r="N14" s="84"/>
      <c r="O14" s="84">
        <f t="shared" si="1"/>
        <v>8200</v>
      </c>
    </row>
    <row r="15" spans="1:15" ht="12.75">
      <c r="A15" s="146" t="s">
        <v>113</v>
      </c>
      <c r="B15" s="111">
        <v>13</v>
      </c>
      <c r="C15" s="147">
        <v>162990</v>
      </c>
      <c r="D15" s="147">
        <v>161149</v>
      </c>
      <c r="E15" s="171">
        <f t="shared" si="0"/>
        <v>0.989</v>
      </c>
      <c r="F15" s="84">
        <v>111893</v>
      </c>
      <c r="G15" s="84">
        <v>7754</v>
      </c>
      <c r="H15" s="84">
        <v>19710</v>
      </c>
      <c r="I15" s="84">
        <v>2781</v>
      </c>
      <c r="J15" s="84">
        <v>9004</v>
      </c>
      <c r="K15" s="84"/>
      <c r="L15" s="84">
        <v>7076</v>
      </c>
      <c r="M15" s="84"/>
      <c r="N15" s="84"/>
      <c r="O15" s="84">
        <f t="shared" si="1"/>
        <v>2931</v>
      </c>
    </row>
    <row r="16" spans="1:15" ht="12.75">
      <c r="A16" s="146" t="s">
        <v>151</v>
      </c>
      <c r="B16" s="111">
        <v>14</v>
      </c>
      <c r="C16" s="147">
        <v>139272</v>
      </c>
      <c r="D16" s="147">
        <v>139268</v>
      </c>
      <c r="E16" s="171">
        <f t="shared" si="0"/>
        <v>1</v>
      </c>
      <c r="F16" s="84">
        <v>91731</v>
      </c>
      <c r="G16" s="84">
        <v>6289</v>
      </c>
      <c r="H16" s="84">
        <v>16754</v>
      </c>
      <c r="I16" s="84">
        <v>2384</v>
      </c>
      <c r="J16" s="84">
        <v>18135</v>
      </c>
      <c r="K16" s="84"/>
      <c r="L16" s="84">
        <v>3975</v>
      </c>
      <c r="M16" s="84"/>
      <c r="N16" s="84"/>
      <c r="O16" s="84">
        <f t="shared" si="1"/>
        <v>0</v>
      </c>
    </row>
    <row r="17" spans="1:15" ht="12.75">
      <c r="A17" s="146" t="s">
        <v>115</v>
      </c>
      <c r="B17" s="111">
        <v>16</v>
      </c>
      <c r="C17" s="147">
        <v>207862</v>
      </c>
      <c r="D17" s="147">
        <v>206825</v>
      </c>
      <c r="E17" s="171">
        <f t="shared" si="0"/>
        <v>0.995</v>
      </c>
      <c r="F17" s="84">
        <v>147219</v>
      </c>
      <c r="G17" s="84">
        <v>9562</v>
      </c>
      <c r="H17" s="84">
        <v>26297</v>
      </c>
      <c r="I17" s="84">
        <v>3639</v>
      </c>
      <c r="J17" s="84">
        <v>5000</v>
      </c>
      <c r="K17" s="84">
        <v>600</v>
      </c>
      <c r="L17" s="84">
        <v>9508</v>
      </c>
      <c r="M17" s="84"/>
      <c r="N17" s="84"/>
      <c r="O17" s="84">
        <f t="shared" si="1"/>
        <v>5000</v>
      </c>
    </row>
    <row r="18" spans="1:15" ht="12.75">
      <c r="A18" s="146" t="s">
        <v>116</v>
      </c>
      <c r="B18" s="111">
        <v>17</v>
      </c>
      <c r="C18" s="147">
        <v>182257</v>
      </c>
      <c r="D18" s="147">
        <v>176907</v>
      </c>
      <c r="E18" s="171">
        <f t="shared" si="0"/>
        <v>0.971</v>
      </c>
      <c r="F18" s="84">
        <v>120077</v>
      </c>
      <c r="G18" s="84">
        <v>8908</v>
      </c>
      <c r="H18" s="84">
        <v>20775</v>
      </c>
      <c r="I18" s="84">
        <v>2915</v>
      </c>
      <c r="J18" s="84">
        <v>9513</v>
      </c>
      <c r="K18" s="84">
        <v>1030</v>
      </c>
      <c r="L18" s="84">
        <v>6455</v>
      </c>
      <c r="M18" s="84"/>
      <c r="N18" s="84"/>
      <c r="O18" s="84">
        <f t="shared" si="1"/>
        <v>7234</v>
      </c>
    </row>
    <row r="19" spans="1:15" ht="12.75">
      <c r="A19" s="146" t="s">
        <v>117</v>
      </c>
      <c r="B19" s="111">
        <v>18</v>
      </c>
      <c r="C19" s="147">
        <v>326504</v>
      </c>
      <c r="D19" s="147">
        <v>323867</v>
      </c>
      <c r="E19" s="171">
        <f t="shared" si="0"/>
        <v>0.992</v>
      </c>
      <c r="F19" s="84">
        <v>238523</v>
      </c>
      <c r="G19" s="84">
        <v>14700</v>
      </c>
      <c r="H19" s="84">
        <v>38278</v>
      </c>
      <c r="I19" s="84">
        <v>5415</v>
      </c>
      <c r="J19" s="84">
        <v>6000</v>
      </c>
      <c r="K19" s="84"/>
      <c r="L19" s="84">
        <v>13951</v>
      </c>
      <c r="M19" s="84"/>
      <c r="N19" s="84"/>
      <c r="O19" s="84">
        <f t="shared" si="1"/>
        <v>7000</v>
      </c>
    </row>
    <row r="20" spans="1:15" ht="12.75">
      <c r="A20" s="146" t="s">
        <v>175</v>
      </c>
      <c r="B20" s="111" t="s">
        <v>154</v>
      </c>
      <c r="C20" s="147">
        <v>100794</v>
      </c>
      <c r="D20" s="147">
        <v>99081</v>
      </c>
      <c r="E20" s="171">
        <f t="shared" si="0"/>
        <v>0.983</v>
      </c>
      <c r="F20" s="84">
        <v>71861</v>
      </c>
      <c r="G20" s="84">
        <v>5580</v>
      </c>
      <c r="H20" s="84">
        <v>13185</v>
      </c>
      <c r="I20" s="84">
        <v>1850</v>
      </c>
      <c r="J20" s="84">
        <v>1222</v>
      </c>
      <c r="K20" s="84"/>
      <c r="L20" s="84">
        <v>2783</v>
      </c>
      <c r="M20" s="84"/>
      <c r="N20" s="84"/>
      <c r="O20" s="84">
        <f t="shared" si="1"/>
        <v>2600</v>
      </c>
    </row>
    <row r="21" spans="1:15" ht="12.75">
      <c r="A21" s="146" t="s">
        <v>118</v>
      </c>
      <c r="B21" s="111">
        <v>20</v>
      </c>
      <c r="C21" s="147">
        <v>193501</v>
      </c>
      <c r="D21" s="147">
        <v>189664</v>
      </c>
      <c r="E21" s="171">
        <f t="shared" si="0"/>
        <v>0.98</v>
      </c>
      <c r="F21" s="84">
        <v>136588</v>
      </c>
      <c r="G21" s="84">
        <v>10381</v>
      </c>
      <c r="H21" s="84">
        <v>24945</v>
      </c>
      <c r="I21" s="84">
        <v>3482</v>
      </c>
      <c r="J21" s="84">
        <v>1064</v>
      </c>
      <c r="K21" s="84">
        <v>999</v>
      </c>
      <c r="L21" s="84">
        <v>8888</v>
      </c>
      <c r="M21" s="84"/>
      <c r="N21" s="84"/>
      <c r="O21" s="84">
        <f t="shared" si="1"/>
        <v>3317</v>
      </c>
    </row>
    <row r="22" spans="1:15" ht="12.75">
      <c r="A22" s="146" t="s">
        <v>119</v>
      </c>
      <c r="B22" s="111">
        <v>21</v>
      </c>
      <c r="C22" s="147">
        <v>289533</v>
      </c>
      <c r="D22" s="147">
        <v>286291</v>
      </c>
      <c r="E22" s="171">
        <f t="shared" si="0"/>
        <v>0.989</v>
      </c>
      <c r="F22" s="84">
        <v>198973</v>
      </c>
      <c r="G22" s="84">
        <v>11715</v>
      </c>
      <c r="H22" s="84">
        <v>28228</v>
      </c>
      <c r="I22" s="84">
        <v>4247</v>
      </c>
      <c r="J22" s="84"/>
      <c r="K22" s="84">
        <v>1000</v>
      </c>
      <c r="L22" s="84">
        <v>12338</v>
      </c>
      <c r="M22" s="84">
        <v>23790</v>
      </c>
      <c r="N22" s="84"/>
      <c r="O22" s="84">
        <f t="shared" si="1"/>
        <v>6000</v>
      </c>
    </row>
    <row r="23" spans="1:15" ht="12.75">
      <c r="A23" s="146" t="s">
        <v>120</v>
      </c>
      <c r="B23" s="111">
        <v>23</v>
      </c>
      <c r="C23" s="147">
        <v>209930</v>
      </c>
      <c r="D23" s="147">
        <v>208798</v>
      </c>
      <c r="E23" s="171">
        <f t="shared" si="0"/>
        <v>0.995</v>
      </c>
      <c r="F23" s="84">
        <v>141506</v>
      </c>
      <c r="G23" s="84">
        <v>11127</v>
      </c>
      <c r="H23" s="84">
        <v>24161</v>
      </c>
      <c r="I23" s="84">
        <v>3414</v>
      </c>
      <c r="J23" s="84">
        <v>12180</v>
      </c>
      <c r="K23" s="84">
        <v>409</v>
      </c>
      <c r="L23" s="84">
        <v>8490</v>
      </c>
      <c r="M23" s="84"/>
      <c r="N23" s="84"/>
      <c r="O23" s="84">
        <f t="shared" si="1"/>
        <v>7511</v>
      </c>
    </row>
    <row r="24" spans="1:15" ht="12.75">
      <c r="A24" s="146" t="s">
        <v>121</v>
      </c>
      <c r="B24" s="111">
        <v>26</v>
      </c>
      <c r="C24" s="147">
        <v>217164</v>
      </c>
      <c r="D24" s="147">
        <v>215000</v>
      </c>
      <c r="E24" s="171">
        <f t="shared" si="0"/>
        <v>0.99</v>
      </c>
      <c r="F24" s="84">
        <v>154495</v>
      </c>
      <c r="G24" s="84">
        <v>10455</v>
      </c>
      <c r="H24" s="84">
        <v>25038</v>
      </c>
      <c r="I24" s="84">
        <v>3645</v>
      </c>
      <c r="J24" s="84">
        <v>6258</v>
      </c>
      <c r="K24" s="84"/>
      <c r="L24" s="84">
        <v>9683</v>
      </c>
      <c r="M24" s="84"/>
      <c r="N24" s="84"/>
      <c r="O24" s="84">
        <f t="shared" si="1"/>
        <v>5426</v>
      </c>
    </row>
    <row r="25" spans="1:15" ht="12.75">
      <c r="A25" s="146" t="s">
        <v>155</v>
      </c>
      <c r="B25" s="111" t="s">
        <v>156</v>
      </c>
      <c r="C25" s="147">
        <v>79736</v>
      </c>
      <c r="D25" s="147">
        <v>79700</v>
      </c>
      <c r="E25" s="171">
        <f t="shared" si="0"/>
        <v>1</v>
      </c>
      <c r="F25" s="84">
        <v>58562</v>
      </c>
      <c r="G25" s="84">
        <v>4291</v>
      </c>
      <c r="H25" s="84">
        <v>10011</v>
      </c>
      <c r="I25" s="84">
        <v>1418</v>
      </c>
      <c r="J25" s="84">
        <v>1438</v>
      </c>
      <c r="K25" s="84"/>
      <c r="L25" s="84">
        <v>2385</v>
      </c>
      <c r="M25" s="84"/>
      <c r="N25" s="84"/>
      <c r="O25" s="84">
        <f t="shared" si="1"/>
        <v>1595</v>
      </c>
    </row>
    <row r="26" spans="1:15" ht="12.75">
      <c r="A26" s="146" t="s">
        <v>122</v>
      </c>
      <c r="B26" s="111">
        <v>28</v>
      </c>
      <c r="C26" s="147">
        <v>328495</v>
      </c>
      <c r="D26" s="147">
        <v>324715</v>
      </c>
      <c r="E26" s="171">
        <f t="shared" si="0"/>
        <v>0.988</v>
      </c>
      <c r="F26" s="84">
        <v>167735</v>
      </c>
      <c r="G26" s="84">
        <v>12500</v>
      </c>
      <c r="H26" s="84">
        <v>28729</v>
      </c>
      <c r="I26" s="84">
        <v>4044</v>
      </c>
      <c r="J26" s="84">
        <v>1453</v>
      </c>
      <c r="K26" s="84">
        <v>100000</v>
      </c>
      <c r="L26" s="84">
        <v>9285</v>
      </c>
      <c r="M26" s="84"/>
      <c r="N26" s="84"/>
      <c r="O26" s="84">
        <f t="shared" si="1"/>
        <v>969</v>
      </c>
    </row>
    <row r="27" spans="1:15" ht="12.75">
      <c r="A27" s="146" t="s">
        <v>123</v>
      </c>
      <c r="B27" s="111">
        <v>29</v>
      </c>
      <c r="C27" s="147">
        <v>199827</v>
      </c>
      <c r="D27" s="147">
        <v>199401</v>
      </c>
      <c r="E27" s="171">
        <f t="shared" si="0"/>
        <v>0.998</v>
      </c>
      <c r="F27" s="84">
        <v>133547</v>
      </c>
      <c r="G27" s="84">
        <v>9464</v>
      </c>
      <c r="H27" s="84">
        <v>21743</v>
      </c>
      <c r="I27" s="84">
        <v>3094</v>
      </c>
      <c r="J27" s="84">
        <v>9200</v>
      </c>
      <c r="K27" s="84"/>
      <c r="L27" s="84">
        <v>6853</v>
      </c>
      <c r="M27" s="84"/>
      <c r="N27" s="84"/>
      <c r="O27" s="84">
        <f t="shared" si="1"/>
        <v>15500</v>
      </c>
    </row>
    <row r="28" spans="1:15" ht="12.75">
      <c r="A28" s="146" t="s">
        <v>124</v>
      </c>
      <c r="B28" s="111">
        <v>31</v>
      </c>
      <c r="C28" s="147">
        <v>357470</v>
      </c>
      <c r="D28" s="147">
        <v>349486</v>
      </c>
      <c r="E28" s="171">
        <f t="shared" si="0"/>
        <v>0.978</v>
      </c>
      <c r="F28" s="84">
        <v>225206</v>
      </c>
      <c r="G28" s="84">
        <v>13357</v>
      </c>
      <c r="H28" s="84">
        <f>38124+1</f>
        <v>38125</v>
      </c>
      <c r="I28" s="84">
        <v>5241</v>
      </c>
      <c r="J28" s="84">
        <v>46894</v>
      </c>
      <c r="K28" s="84">
        <v>1028</v>
      </c>
      <c r="L28" s="84">
        <v>12513</v>
      </c>
      <c r="M28" s="84"/>
      <c r="N28" s="84"/>
      <c r="O28" s="84">
        <f t="shared" si="1"/>
        <v>7122</v>
      </c>
    </row>
    <row r="29" spans="1:15" ht="12.75">
      <c r="A29" s="146" t="s">
        <v>125</v>
      </c>
      <c r="B29" s="111">
        <v>33</v>
      </c>
      <c r="C29" s="147">
        <v>266106</v>
      </c>
      <c r="D29" s="147">
        <v>265915</v>
      </c>
      <c r="E29" s="171">
        <f t="shared" si="0"/>
        <v>0.999</v>
      </c>
      <c r="F29" s="84">
        <v>185355</v>
      </c>
      <c r="G29" s="84">
        <v>12596</v>
      </c>
      <c r="H29" s="84">
        <v>30625</v>
      </c>
      <c r="I29" s="84">
        <v>4265</v>
      </c>
      <c r="J29" s="84">
        <v>13463</v>
      </c>
      <c r="K29" s="84"/>
      <c r="L29" s="84">
        <v>12115</v>
      </c>
      <c r="M29" s="84"/>
      <c r="N29" s="84"/>
      <c r="O29" s="84">
        <f t="shared" si="1"/>
        <v>7496</v>
      </c>
    </row>
    <row r="30" spans="1:15" ht="12.75">
      <c r="A30" s="146" t="s">
        <v>126</v>
      </c>
      <c r="B30" s="111">
        <v>34</v>
      </c>
      <c r="C30" s="147">
        <v>212123</v>
      </c>
      <c r="D30" s="147">
        <v>203898</v>
      </c>
      <c r="E30" s="171">
        <f t="shared" si="0"/>
        <v>0.961</v>
      </c>
      <c r="F30" s="84">
        <v>141516</v>
      </c>
      <c r="G30" s="84">
        <v>11500</v>
      </c>
      <c r="H30" s="84">
        <v>25882</v>
      </c>
      <c r="I30" s="84">
        <v>3632</v>
      </c>
      <c r="J30" s="84">
        <v>7794</v>
      </c>
      <c r="K30" s="84"/>
      <c r="L30" s="84">
        <v>9086</v>
      </c>
      <c r="M30" s="84"/>
      <c r="N30" s="84"/>
      <c r="O30" s="84">
        <f t="shared" si="1"/>
        <v>4488</v>
      </c>
    </row>
    <row r="31" spans="1:15" ht="12.75">
      <c r="A31" s="146" t="s">
        <v>127</v>
      </c>
      <c r="B31" s="111">
        <v>35</v>
      </c>
      <c r="C31" s="147">
        <v>222263</v>
      </c>
      <c r="D31" s="147">
        <v>222210</v>
      </c>
      <c r="E31" s="171">
        <f t="shared" si="0"/>
        <v>1</v>
      </c>
      <c r="F31" s="84">
        <v>154999</v>
      </c>
      <c r="G31" s="84">
        <v>12031</v>
      </c>
      <c r="H31" s="84">
        <v>27366</v>
      </c>
      <c r="I31" s="84">
        <v>3894</v>
      </c>
      <c r="J31" s="84">
        <v>4637</v>
      </c>
      <c r="K31" s="84"/>
      <c r="L31" s="84">
        <v>9285</v>
      </c>
      <c r="M31" s="84"/>
      <c r="N31" s="84"/>
      <c r="O31" s="84">
        <f t="shared" si="1"/>
        <v>9998</v>
      </c>
    </row>
    <row r="32" spans="1:15" ht="12.75">
      <c r="A32" s="146" t="s">
        <v>176</v>
      </c>
      <c r="B32" s="111" t="s">
        <v>177</v>
      </c>
      <c r="C32" s="147">
        <v>76873</v>
      </c>
      <c r="D32" s="147">
        <v>76300</v>
      </c>
      <c r="E32" s="171">
        <f t="shared" si="0"/>
        <v>0.993</v>
      </c>
      <c r="F32" s="84">
        <v>54680</v>
      </c>
      <c r="G32" s="84">
        <v>4334</v>
      </c>
      <c r="H32" s="84">
        <v>8773</v>
      </c>
      <c r="I32" s="84">
        <v>1231</v>
      </c>
      <c r="J32" s="84">
        <v>2698</v>
      </c>
      <c r="K32" s="84"/>
      <c r="L32" s="84">
        <v>2584</v>
      </c>
      <c r="M32" s="84"/>
      <c r="N32" s="84"/>
      <c r="O32" s="84">
        <f t="shared" si="1"/>
        <v>2000</v>
      </c>
    </row>
    <row r="33" spans="1:15" ht="12.75">
      <c r="A33" s="146" t="s">
        <v>129</v>
      </c>
      <c r="B33" s="111">
        <v>39</v>
      </c>
      <c r="C33" s="147">
        <v>333378</v>
      </c>
      <c r="D33" s="147">
        <v>332313</v>
      </c>
      <c r="E33" s="171">
        <f t="shared" si="0"/>
        <v>0.997</v>
      </c>
      <c r="F33" s="84">
        <v>216893</v>
      </c>
      <c r="G33" s="84">
        <v>14814</v>
      </c>
      <c r="H33" s="84">
        <v>34872</v>
      </c>
      <c r="I33" s="84">
        <v>5052</v>
      </c>
      <c r="J33" s="84">
        <v>39768</v>
      </c>
      <c r="K33" s="84">
        <v>2000</v>
      </c>
      <c r="L33" s="84">
        <v>13214</v>
      </c>
      <c r="M33" s="84"/>
      <c r="N33" s="84"/>
      <c r="O33" s="84">
        <f t="shared" si="1"/>
        <v>5700</v>
      </c>
    </row>
    <row r="34" spans="1:15" ht="12.75">
      <c r="A34" s="146" t="s">
        <v>130</v>
      </c>
      <c r="B34" s="111">
        <v>40</v>
      </c>
      <c r="C34" s="147">
        <v>323495</v>
      </c>
      <c r="D34" s="147">
        <v>321748</v>
      </c>
      <c r="E34" s="171">
        <f t="shared" si="0"/>
        <v>0.995</v>
      </c>
      <c r="F34" s="84">
        <v>223086</v>
      </c>
      <c r="G34" s="84">
        <v>15713</v>
      </c>
      <c r="H34" s="84">
        <v>37295</v>
      </c>
      <c r="I34" s="84">
        <v>5253</v>
      </c>
      <c r="J34" s="84">
        <v>15492</v>
      </c>
      <c r="K34" s="84">
        <v>1139</v>
      </c>
      <c r="L34" s="84">
        <v>12115</v>
      </c>
      <c r="M34" s="84"/>
      <c r="N34" s="84"/>
      <c r="O34" s="84">
        <f t="shared" si="1"/>
        <v>11655</v>
      </c>
    </row>
    <row r="35" spans="1:15" ht="12.75">
      <c r="A35" s="146" t="s">
        <v>160</v>
      </c>
      <c r="B35" s="111" t="s">
        <v>161</v>
      </c>
      <c r="C35" s="147">
        <v>89911</v>
      </c>
      <c r="D35" s="147">
        <v>88812</v>
      </c>
      <c r="E35" s="171">
        <f t="shared" si="0"/>
        <v>0.988</v>
      </c>
      <c r="F35" s="84">
        <v>64699</v>
      </c>
      <c r="G35" s="84">
        <v>5295</v>
      </c>
      <c r="H35" s="84">
        <v>12213</v>
      </c>
      <c r="I35" s="84">
        <v>1709</v>
      </c>
      <c r="J35" s="84">
        <v>1666</v>
      </c>
      <c r="K35" s="84"/>
      <c r="L35" s="84">
        <v>2584</v>
      </c>
      <c r="M35" s="84"/>
      <c r="N35" s="84"/>
      <c r="O35" s="84">
        <f t="shared" si="1"/>
        <v>646</v>
      </c>
    </row>
    <row r="36" spans="1:15" ht="12.75">
      <c r="A36" s="146" t="s">
        <v>131</v>
      </c>
      <c r="B36" s="111">
        <v>42</v>
      </c>
      <c r="C36" s="147">
        <v>209477</v>
      </c>
      <c r="D36" s="147">
        <v>208846</v>
      </c>
      <c r="E36" s="171">
        <f t="shared" si="0"/>
        <v>0.997</v>
      </c>
      <c r="F36" s="84">
        <v>153629</v>
      </c>
      <c r="G36" s="84">
        <v>12295</v>
      </c>
      <c r="H36" s="84">
        <v>27954</v>
      </c>
      <c r="I36" s="84">
        <v>3923</v>
      </c>
      <c r="J36" s="84">
        <v>1760</v>
      </c>
      <c r="K36" s="84"/>
      <c r="L36" s="84">
        <v>9285</v>
      </c>
      <c r="M36" s="84"/>
      <c r="N36" s="84"/>
      <c r="O36" s="84">
        <f t="shared" si="1"/>
        <v>0</v>
      </c>
    </row>
    <row r="37" spans="1:15" ht="12.75">
      <c r="A37" s="146" t="s">
        <v>132</v>
      </c>
      <c r="B37" s="111">
        <v>43</v>
      </c>
      <c r="C37" s="147">
        <v>306120</v>
      </c>
      <c r="D37" s="147">
        <v>305270</v>
      </c>
      <c r="E37" s="171">
        <f t="shared" si="0"/>
        <v>0.997</v>
      </c>
      <c r="F37" s="84">
        <v>202321</v>
      </c>
      <c r="G37" s="84">
        <v>15370</v>
      </c>
      <c r="H37" s="84">
        <v>36746</v>
      </c>
      <c r="I37" s="84">
        <v>5156</v>
      </c>
      <c r="J37" s="84">
        <v>20775</v>
      </c>
      <c r="K37" s="84">
        <v>1500</v>
      </c>
      <c r="L37" s="84">
        <v>12115</v>
      </c>
      <c r="M37" s="84"/>
      <c r="N37" s="84"/>
      <c r="O37" s="84">
        <f t="shared" si="1"/>
        <v>11287</v>
      </c>
    </row>
    <row r="38" spans="1:15" ht="12.75">
      <c r="A38" s="146" t="s">
        <v>133</v>
      </c>
      <c r="B38" s="111">
        <v>44</v>
      </c>
      <c r="C38" s="147">
        <v>233671</v>
      </c>
      <c r="D38" s="147">
        <v>229906</v>
      </c>
      <c r="E38" s="171">
        <f t="shared" si="0"/>
        <v>0.984</v>
      </c>
      <c r="F38" s="84">
        <v>165534</v>
      </c>
      <c r="G38" s="84">
        <v>11176</v>
      </c>
      <c r="H38" s="84">
        <v>29234</v>
      </c>
      <c r="I38" s="84">
        <v>4113</v>
      </c>
      <c r="J38" s="84">
        <v>5713</v>
      </c>
      <c r="K38" s="84">
        <v>1650</v>
      </c>
      <c r="L38" s="84">
        <v>9285</v>
      </c>
      <c r="M38" s="84"/>
      <c r="N38" s="84"/>
      <c r="O38" s="84">
        <f t="shared" si="1"/>
        <v>3201</v>
      </c>
    </row>
    <row r="39" spans="1:15" ht="12.75">
      <c r="A39" s="146" t="s">
        <v>134</v>
      </c>
      <c r="B39" s="111">
        <v>45</v>
      </c>
      <c r="C39" s="147">
        <v>313416</v>
      </c>
      <c r="D39" s="147">
        <v>311144</v>
      </c>
      <c r="E39" s="171">
        <f t="shared" si="0"/>
        <v>0.993</v>
      </c>
      <c r="F39" s="84">
        <v>221932</v>
      </c>
      <c r="G39" s="84">
        <v>16077</v>
      </c>
      <c r="H39" s="84">
        <v>38131</v>
      </c>
      <c r="I39" s="84">
        <v>5397</v>
      </c>
      <c r="J39" s="84">
        <v>7794</v>
      </c>
      <c r="K39" s="84">
        <v>1604</v>
      </c>
      <c r="L39" s="84">
        <v>14993</v>
      </c>
      <c r="M39" s="84"/>
      <c r="N39" s="84"/>
      <c r="O39" s="84">
        <f t="shared" si="1"/>
        <v>5216</v>
      </c>
    </row>
    <row r="40" spans="1:15" ht="12.75">
      <c r="A40" s="146" t="s">
        <v>135</v>
      </c>
      <c r="B40" s="111">
        <v>46</v>
      </c>
      <c r="C40" s="147">
        <v>378464</v>
      </c>
      <c r="D40" s="147">
        <v>378127</v>
      </c>
      <c r="E40" s="171">
        <f t="shared" si="0"/>
        <v>0.999</v>
      </c>
      <c r="F40" s="84">
        <v>262296</v>
      </c>
      <c r="G40" s="84">
        <v>16314</v>
      </c>
      <c r="H40" s="84">
        <v>38845</v>
      </c>
      <c r="I40" s="84">
        <v>5944</v>
      </c>
      <c r="J40" s="84">
        <v>33900</v>
      </c>
      <c r="K40" s="84">
        <v>2400</v>
      </c>
      <c r="L40" s="84">
        <v>13928</v>
      </c>
      <c r="M40" s="84"/>
      <c r="N40" s="84"/>
      <c r="O40" s="84">
        <f t="shared" si="1"/>
        <v>4500</v>
      </c>
    </row>
    <row r="41" spans="1:15" ht="12.75">
      <c r="A41" s="146" t="s">
        <v>136</v>
      </c>
      <c r="B41" s="111">
        <v>47</v>
      </c>
      <c r="C41" s="147">
        <v>497021</v>
      </c>
      <c r="D41" s="147">
        <v>496890</v>
      </c>
      <c r="E41" s="171">
        <f t="shared" si="0"/>
        <v>1</v>
      </c>
      <c r="F41" s="84">
        <f>347656-1</f>
        <v>347655</v>
      </c>
      <c r="G41" s="84">
        <f>22010+1</f>
        <v>22011</v>
      </c>
      <c r="H41" s="84">
        <f>56151+1</f>
        <v>56152</v>
      </c>
      <c r="I41" s="84">
        <v>8031</v>
      </c>
      <c r="J41" s="84">
        <f>34123+1</f>
        <v>34124</v>
      </c>
      <c r="K41" s="84">
        <v>1600</v>
      </c>
      <c r="L41" s="84">
        <v>17775</v>
      </c>
      <c r="M41" s="84"/>
      <c r="N41" s="84"/>
      <c r="O41" s="84">
        <f t="shared" si="1"/>
        <v>9542</v>
      </c>
    </row>
    <row r="42" spans="1:15" ht="12.75">
      <c r="A42" s="146" t="s">
        <v>137</v>
      </c>
      <c r="B42" s="111">
        <v>48</v>
      </c>
      <c r="C42" s="147">
        <v>187822</v>
      </c>
      <c r="D42" s="147">
        <v>187544</v>
      </c>
      <c r="E42" s="171">
        <f t="shared" si="0"/>
        <v>0.999</v>
      </c>
      <c r="F42" s="84">
        <v>138148</v>
      </c>
      <c r="G42" s="84">
        <v>11188</v>
      </c>
      <c r="H42" s="84">
        <v>24394</v>
      </c>
      <c r="I42" s="84">
        <v>3413</v>
      </c>
      <c r="J42" s="84">
        <v>1735</v>
      </c>
      <c r="K42" s="84"/>
      <c r="L42" s="84">
        <v>8666</v>
      </c>
      <c r="M42" s="84"/>
      <c r="N42" s="84"/>
      <c r="O42" s="84">
        <f t="shared" si="1"/>
        <v>0</v>
      </c>
    </row>
    <row r="43" spans="1:15" s="88" customFormat="1" ht="12.75">
      <c r="A43" s="148" t="s">
        <v>46</v>
      </c>
      <c r="B43" s="84"/>
      <c r="C43" s="153">
        <f>SUM(C5:C42)</f>
        <v>8296248</v>
      </c>
      <c r="D43" s="153">
        <f>SUM(D5:D42)</f>
        <v>8210524</v>
      </c>
      <c r="E43" s="171">
        <f t="shared" si="0"/>
        <v>0.99</v>
      </c>
      <c r="F43" s="87">
        <f aca="true" t="shared" si="2" ref="F43:O43">SUM(F5:F42)</f>
        <v>5635359</v>
      </c>
      <c r="G43" s="87">
        <f t="shared" si="2"/>
        <v>394315</v>
      </c>
      <c r="H43" s="87">
        <f t="shared" si="2"/>
        <v>949522</v>
      </c>
      <c r="I43" s="87">
        <f t="shared" si="2"/>
        <v>134988</v>
      </c>
      <c r="J43" s="87">
        <f t="shared" si="2"/>
        <v>437736</v>
      </c>
      <c r="K43" s="87">
        <f t="shared" si="2"/>
        <v>118559</v>
      </c>
      <c r="L43" s="87">
        <f t="shared" si="2"/>
        <v>323039</v>
      </c>
      <c r="M43" s="87">
        <f t="shared" si="2"/>
        <v>23790</v>
      </c>
      <c r="N43" s="87">
        <f t="shared" si="2"/>
        <v>5000</v>
      </c>
      <c r="O43" s="87">
        <f t="shared" si="2"/>
        <v>188216</v>
      </c>
    </row>
  </sheetData>
  <mergeCells count="1">
    <mergeCell ref="A2:O2"/>
  </mergeCells>
  <printOptions/>
  <pageMargins left="0.7874015748031497" right="0.5905511811023623" top="0.7874015748031497" bottom="0.3937007874015748" header="0.5118110236220472" footer="0.3937007874015748"/>
  <pageSetup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6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T2"/>
    </sheetView>
  </sheetViews>
  <sheetFormatPr defaultColWidth="9.00390625" defaultRowHeight="12.75"/>
  <cols>
    <col min="1" max="1" width="11.75390625" style="201" customWidth="1"/>
    <col min="2" max="2" width="8.625" style="201" customWidth="1"/>
    <col min="3" max="3" width="8.375" style="201" bestFit="1" customWidth="1"/>
    <col min="4" max="4" width="7.625" style="201" bestFit="1" customWidth="1"/>
    <col min="5" max="5" width="8.375" style="201" bestFit="1" customWidth="1"/>
    <col min="6" max="6" width="7.625" style="201" customWidth="1"/>
    <col min="7" max="7" width="6.875" style="201" bestFit="1" customWidth="1"/>
    <col min="8" max="8" width="6.125" style="201" customWidth="1"/>
    <col min="9" max="9" width="6.375" style="201" customWidth="1"/>
    <col min="10" max="10" width="6.75390625" style="201" customWidth="1"/>
    <col min="11" max="11" width="7.875" style="201" customWidth="1"/>
    <col min="12" max="12" width="11.125" style="201" customWidth="1"/>
    <col min="13" max="13" width="6.25390625" style="201" customWidth="1"/>
    <col min="14" max="14" width="5.75390625" style="201" customWidth="1"/>
    <col min="15" max="15" width="7.25390625" style="201" customWidth="1"/>
    <col min="16" max="16" width="5.875" style="201" customWidth="1"/>
    <col min="17" max="17" width="4.625" style="201" customWidth="1"/>
    <col min="18" max="18" width="6.25390625" style="201" customWidth="1"/>
    <col min="19" max="19" width="5.25390625" style="201" customWidth="1"/>
    <col min="20" max="20" width="4.625" style="201" customWidth="1"/>
    <col min="21" max="21" width="6.00390625" style="201" customWidth="1"/>
    <col min="22" max="22" width="6.625" style="201" customWidth="1"/>
    <col min="23" max="23" width="5.875" style="201" customWidth="1"/>
    <col min="24" max="24" width="6.125" style="201" customWidth="1"/>
    <col min="25" max="25" width="5.125" style="201" customWidth="1"/>
    <col min="26" max="28" width="6.00390625" style="201" customWidth="1"/>
    <col min="29" max="29" width="5.75390625" style="201" customWidth="1"/>
    <col min="30" max="30" width="5.875" style="201" customWidth="1"/>
    <col min="31" max="31" width="7.625" style="201" customWidth="1"/>
    <col min="32" max="32" width="6.125" style="201" customWidth="1"/>
    <col min="33" max="33" width="6.875" style="201" customWidth="1"/>
    <col min="34" max="34" width="7.375" style="201" customWidth="1"/>
    <col min="35" max="35" width="7.25390625" style="201" customWidth="1"/>
    <col min="36" max="36" width="7.00390625" style="201" customWidth="1"/>
    <col min="37" max="37" width="5.875" style="201" customWidth="1"/>
    <col min="38" max="38" width="7.125" style="201" customWidth="1"/>
    <col min="39" max="39" width="7.00390625" style="201" customWidth="1"/>
    <col min="40" max="40" width="6.125" style="201" customWidth="1"/>
    <col min="41" max="41" width="5.875" style="201" customWidth="1"/>
    <col min="42" max="16384" width="9.125" style="201" customWidth="1"/>
  </cols>
  <sheetData>
    <row r="1" spans="1:41" ht="15">
      <c r="A1" s="197"/>
      <c r="B1" s="198"/>
      <c r="C1" s="198"/>
      <c r="D1" s="198"/>
      <c r="E1" s="198"/>
      <c r="F1" s="198"/>
      <c r="G1" s="198"/>
      <c r="H1" s="198"/>
      <c r="I1" s="198"/>
      <c r="J1" s="199"/>
      <c r="K1" s="199"/>
      <c r="L1" s="199"/>
      <c r="M1" s="200"/>
      <c r="N1" s="200"/>
      <c r="O1" s="200"/>
      <c r="P1" s="200"/>
      <c r="Q1" s="200"/>
      <c r="R1" s="200"/>
      <c r="S1" s="200"/>
      <c r="T1" s="32" t="s">
        <v>248</v>
      </c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</row>
    <row r="2" spans="1:41" ht="15">
      <c r="A2" s="266" t="s">
        <v>245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</row>
    <row r="3" spans="1:41" s="190" customFormat="1" ht="15" customHeight="1">
      <c r="A3" s="202"/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5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</row>
    <row r="4" spans="1:41" s="212" customFormat="1" ht="21.75">
      <c r="A4" s="207" t="s">
        <v>101</v>
      </c>
      <c r="B4" s="208" t="s">
        <v>102</v>
      </c>
      <c r="C4" s="272" t="s">
        <v>178</v>
      </c>
      <c r="D4" s="273"/>
      <c r="E4" s="273"/>
      <c r="F4" s="274"/>
      <c r="G4" s="272" t="s">
        <v>179</v>
      </c>
      <c r="H4" s="273"/>
      <c r="I4" s="273"/>
      <c r="J4" s="274"/>
      <c r="K4" s="209" t="s">
        <v>180</v>
      </c>
      <c r="L4" s="275" t="s">
        <v>181</v>
      </c>
      <c r="M4" s="276"/>
      <c r="N4" s="276"/>
      <c r="O4" s="276"/>
      <c r="P4" s="276"/>
      <c r="Q4" s="276"/>
      <c r="R4" s="276"/>
      <c r="S4" s="276"/>
      <c r="T4" s="276"/>
      <c r="U4" s="276" t="s">
        <v>246</v>
      </c>
      <c r="V4" s="276"/>
      <c r="W4" s="276"/>
      <c r="X4" s="276"/>
      <c r="Y4" s="276"/>
      <c r="Z4" s="276"/>
      <c r="AA4" s="276"/>
      <c r="AB4" s="276"/>
      <c r="AC4" s="276"/>
      <c r="AD4" s="277"/>
      <c r="AE4" s="267" t="s">
        <v>182</v>
      </c>
      <c r="AF4" s="268"/>
      <c r="AG4" s="210" t="s">
        <v>183</v>
      </c>
      <c r="AH4" s="210" t="s">
        <v>184</v>
      </c>
      <c r="AI4" s="211" t="s">
        <v>185</v>
      </c>
      <c r="AJ4" s="269" t="s">
        <v>186</v>
      </c>
      <c r="AK4" s="270"/>
      <c r="AL4" s="270"/>
      <c r="AM4" s="270"/>
      <c r="AN4" s="270"/>
      <c r="AO4" s="271"/>
    </row>
    <row r="5" spans="1:41" s="212" customFormat="1" ht="32.25" customHeight="1">
      <c r="A5" s="207" t="s">
        <v>103</v>
      </c>
      <c r="B5" s="213" t="s">
        <v>187</v>
      </c>
      <c r="C5" s="211" t="s">
        <v>188</v>
      </c>
      <c r="D5" s="214" t="s">
        <v>189</v>
      </c>
      <c r="E5" s="214" t="s">
        <v>190</v>
      </c>
      <c r="F5" s="214" t="s">
        <v>191</v>
      </c>
      <c r="G5" s="211" t="s">
        <v>46</v>
      </c>
      <c r="H5" s="214" t="s">
        <v>189</v>
      </c>
      <c r="I5" s="214" t="s">
        <v>192</v>
      </c>
      <c r="J5" s="214" t="s">
        <v>191</v>
      </c>
      <c r="K5" s="211" t="s">
        <v>193</v>
      </c>
      <c r="L5" s="215" t="s">
        <v>194</v>
      </c>
      <c r="M5" s="216" t="s">
        <v>195</v>
      </c>
      <c r="N5" s="216" t="s">
        <v>196</v>
      </c>
      <c r="O5" s="216" t="s">
        <v>197</v>
      </c>
      <c r="P5" s="216" t="s">
        <v>198</v>
      </c>
      <c r="Q5" s="217" t="s">
        <v>199</v>
      </c>
      <c r="R5" s="217" t="s">
        <v>200</v>
      </c>
      <c r="S5" s="217" t="s">
        <v>201</v>
      </c>
      <c r="T5" s="217" t="s">
        <v>202</v>
      </c>
      <c r="U5" s="217" t="s">
        <v>203</v>
      </c>
      <c r="V5" s="217" t="s">
        <v>204</v>
      </c>
      <c r="W5" s="217" t="s">
        <v>205</v>
      </c>
      <c r="X5" s="217" t="s">
        <v>206</v>
      </c>
      <c r="Y5" s="217" t="s">
        <v>207</v>
      </c>
      <c r="Z5" s="217" t="s">
        <v>208</v>
      </c>
      <c r="AA5" s="217" t="s">
        <v>209</v>
      </c>
      <c r="AB5" s="217" t="s">
        <v>210</v>
      </c>
      <c r="AC5" s="216" t="s">
        <v>211</v>
      </c>
      <c r="AD5" s="216" t="s">
        <v>212</v>
      </c>
      <c r="AE5" s="218" t="s">
        <v>213</v>
      </c>
      <c r="AF5" s="217" t="s">
        <v>214</v>
      </c>
      <c r="AG5" s="218" t="s">
        <v>213</v>
      </c>
      <c r="AH5" s="218" t="s">
        <v>213</v>
      </c>
      <c r="AI5" s="211" t="s">
        <v>215</v>
      </c>
      <c r="AJ5" s="219" t="s">
        <v>46</v>
      </c>
      <c r="AK5" s="217" t="s">
        <v>216</v>
      </c>
      <c r="AL5" s="217" t="s">
        <v>217</v>
      </c>
      <c r="AM5" s="217" t="s">
        <v>218</v>
      </c>
      <c r="AN5" s="217" t="s">
        <v>219</v>
      </c>
      <c r="AO5" s="217" t="s">
        <v>220</v>
      </c>
    </row>
    <row r="6" spans="1:41" ht="12.75">
      <c r="A6" s="220" t="s">
        <v>139</v>
      </c>
      <c r="B6" s="221" t="s">
        <v>140</v>
      </c>
      <c r="C6" s="219">
        <f aca="true" t="shared" si="0" ref="C6:C45">D6+E6+F6</f>
        <v>642</v>
      </c>
      <c r="D6" s="217"/>
      <c r="E6" s="217"/>
      <c r="F6" s="217">
        <v>642</v>
      </c>
      <c r="G6" s="219">
        <f aca="true" t="shared" si="1" ref="G6:G45">H6+I6+J6</f>
        <v>23.66</v>
      </c>
      <c r="H6" s="217"/>
      <c r="I6" s="217"/>
      <c r="J6" s="217">
        <v>23.66</v>
      </c>
      <c r="K6" s="219">
        <f aca="true" t="shared" si="2" ref="K6:K45">L6+AC6+AD6</f>
        <v>75.27</v>
      </c>
      <c r="L6" s="217">
        <f aca="true" t="shared" si="3" ref="L6:L45">M6+N6+O6+P6</f>
        <v>55.77</v>
      </c>
      <c r="M6" s="217">
        <f aca="true" t="shared" si="4" ref="M6:M45">U6+Y6+Q6</f>
        <v>1.91</v>
      </c>
      <c r="N6" s="217">
        <f aca="true" t="shared" si="5" ref="N6:N45">V6+Z6+R6</f>
        <v>6.36</v>
      </c>
      <c r="O6" s="217">
        <f aca="true" t="shared" si="6" ref="O6:O45">W6+AA6+S6</f>
        <v>24.43</v>
      </c>
      <c r="P6" s="217">
        <f aca="true" t="shared" si="7" ref="P6:P45">X6+AB6+T6</f>
        <v>23.07</v>
      </c>
      <c r="Q6" s="217"/>
      <c r="R6" s="217"/>
      <c r="S6" s="217"/>
      <c r="T6" s="217"/>
      <c r="U6" s="217"/>
      <c r="V6" s="217"/>
      <c r="W6" s="217"/>
      <c r="X6" s="217"/>
      <c r="Y6" s="217">
        <v>1.91</v>
      </c>
      <c r="Z6" s="217">
        <v>6.36</v>
      </c>
      <c r="AA6" s="217">
        <v>24.43</v>
      </c>
      <c r="AB6" s="217">
        <v>23.07</v>
      </c>
      <c r="AC6" s="219">
        <v>4.5</v>
      </c>
      <c r="AD6" s="219">
        <v>15</v>
      </c>
      <c r="AE6" s="217">
        <v>52.85</v>
      </c>
      <c r="AF6" s="217">
        <v>5.2</v>
      </c>
      <c r="AG6" s="217">
        <v>10</v>
      </c>
      <c r="AH6" s="217">
        <v>20</v>
      </c>
      <c r="AI6" s="222"/>
      <c r="AJ6" s="219">
        <f aca="true" t="shared" si="8" ref="AJ6:AJ44">AK6+AN6+AO6+AL6+AM6</f>
        <v>97.5</v>
      </c>
      <c r="AK6" s="217">
        <v>24</v>
      </c>
      <c r="AL6" s="217">
        <v>69</v>
      </c>
      <c r="AM6" s="217"/>
      <c r="AN6" s="217"/>
      <c r="AO6" s="217">
        <v>4.5</v>
      </c>
    </row>
    <row r="7" spans="1:41" ht="12.75">
      <c r="A7" s="220" t="s">
        <v>107</v>
      </c>
      <c r="B7" s="221">
        <v>2</v>
      </c>
      <c r="C7" s="219">
        <f t="shared" si="0"/>
        <v>359.7</v>
      </c>
      <c r="D7" s="217"/>
      <c r="E7" s="217">
        <v>34</v>
      </c>
      <c r="F7" s="217">
        <v>325.7</v>
      </c>
      <c r="G7" s="219">
        <f t="shared" si="1"/>
        <v>13.7</v>
      </c>
      <c r="H7" s="217"/>
      <c r="I7" s="217">
        <v>1.7</v>
      </c>
      <c r="J7" s="217">
        <v>12</v>
      </c>
      <c r="K7" s="219">
        <f t="shared" si="2"/>
        <v>48.25</v>
      </c>
      <c r="L7" s="217">
        <f t="shared" si="3"/>
        <v>33.75</v>
      </c>
      <c r="M7" s="217">
        <f t="shared" si="4"/>
        <v>2.4</v>
      </c>
      <c r="N7" s="217">
        <f t="shared" si="5"/>
        <v>4.87</v>
      </c>
      <c r="O7" s="217">
        <f t="shared" si="6"/>
        <v>21.21</v>
      </c>
      <c r="P7" s="217">
        <f t="shared" si="7"/>
        <v>5.27</v>
      </c>
      <c r="Q7" s="217"/>
      <c r="R7" s="217"/>
      <c r="S7" s="217"/>
      <c r="T7" s="217"/>
      <c r="U7" s="217">
        <v>0.24</v>
      </c>
      <c r="V7" s="217">
        <v>0.71</v>
      </c>
      <c r="W7" s="217">
        <v>2.2</v>
      </c>
      <c r="X7" s="217">
        <v>0.11</v>
      </c>
      <c r="Y7" s="217">
        <v>2.16</v>
      </c>
      <c r="Z7" s="217">
        <v>4.16</v>
      </c>
      <c r="AA7" s="217">
        <v>19.01</v>
      </c>
      <c r="AB7" s="217">
        <v>5.16</v>
      </c>
      <c r="AC7" s="219">
        <v>4</v>
      </c>
      <c r="AD7" s="219">
        <v>10.5</v>
      </c>
      <c r="AE7" s="217">
        <v>26.7</v>
      </c>
      <c r="AF7" s="217">
        <v>2.7</v>
      </c>
      <c r="AG7" s="217">
        <v>20</v>
      </c>
      <c r="AH7" s="217">
        <v>0.83</v>
      </c>
      <c r="AI7" s="219">
        <v>2.08</v>
      </c>
      <c r="AJ7" s="219">
        <f t="shared" si="8"/>
        <v>140</v>
      </c>
      <c r="AK7" s="217">
        <v>13</v>
      </c>
      <c r="AL7" s="217">
        <v>83</v>
      </c>
      <c r="AM7" s="217">
        <v>12</v>
      </c>
      <c r="AN7" s="217">
        <v>24</v>
      </c>
      <c r="AO7" s="217">
        <v>8</v>
      </c>
    </row>
    <row r="8" spans="1:41" ht="12.75">
      <c r="A8" s="220" t="s">
        <v>142</v>
      </c>
      <c r="B8" s="221" t="s">
        <v>143</v>
      </c>
      <c r="C8" s="219">
        <f t="shared" si="0"/>
        <v>295</v>
      </c>
      <c r="D8" s="217"/>
      <c r="E8" s="217"/>
      <c r="F8" s="217">
        <v>295</v>
      </c>
      <c r="G8" s="219">
        <f t="shared" si="1"/>
        <v>14</v>
      </c>
      <c r="H8" s="217"/>
      <c r="I8" s="217"/>
      <c r="J8" s="217">
        <v>14</v>
      </c>
      <c r="K8" s="219">
        <f t="shared" si="2"/>
        <v>54.05</v>
      </c>
      <c r="L8" s="217">
        <f t="shared" si="3"/>
        <v>37.55</v>
      </c>
      <c r="M8" s="217">
        <f t="shared" si="4"/>
        <v>2.55</v>
      </c>
      <c r="N8" s="217">
        <f t="shared" si="5"/>
        <v>7.92</v>
      </c>
      <c r="O8" s="217">
        <f t="shared" si="6"/>
        <v>18.06</v>
      </c>
      <c r="P8" s="217">
        <f t="shared" si="7"/>
        <v>9.02</v>
      </c>
      <c r="Q8" s="217"/>
      <c r="R8" s="217"/>
      <c r="S8" s="217"/>
      <c r="T8" s="217"/>
      <c r="U8" s="217"/>
      <c r="V8" s="217"/>
      <c r="W8" s="217"/>
      <c r="X8" s="217"/>
      <c r="Y8" s="217">
        <v>2.55</v>
      </c>
      <c r="Z8" s="217">
        <v>7.92</v>
      </c>
      <c r="AA8" s="217">
        <v>18.06</v>
      </c>
      <c r="AB8" s="217">
        <v>9.02</v>
      </c>
      <c r="AC8" s="219">
        <v>4.5</v>
      </c>
      <c r="AD8" s="219">
        <v>12</v>
      </c>
      <c r="AE8" s="217">
        <v>87</v>
      </c>
      <c r="AF8" s="217">
        <v>9</v>
      </c>
      <c r="AG8" s="217">
        <v>20</v>
      </c>
      <c r="AH8" s="217">
        <v>20</v>
      </c>
      <c r="AI8" s="219"/>
      <c r="AJ8" s="219">
        <f t="shared" si="8"/>
        <v>59</v>
      </c>
      <c r="AK8" s="217">
        <v>12</v>
      </c>
      <c r="AL8" s="217">
        <v>22</v>
      </c>
      <c r="AM8" s="217">
        <v>16</v>
      </c>
      <c r="AN8" s="217">
        <v>4</v>
      </c>
      <c r="AO8" s="217">
        <v>5</v>
      </c>
    </row>
    <row r="9" spans="1:41" ht="12.75">
      <c r="A9" s="220" t="s">
        <v>221</v>
      </c>
      <c r="B9" s="221">
        <v>6</v>
      </c>
      <c r="C9" s="219">
        <f t="shared" si="0"/>
        <v>680</v>
      </c>
      <c r="D9" s="217"/>
      <c r="E9" s="217">
        <v>680</v>
      </c>
      <c r="F9" s="217"/>
      <c r="G9" s="219">
        <f t="shared" si="1"/>
        <v>30</v>
      </c>
      <c r="H9" s="217"/>
      <c r="I9" s="217">
        <v>30</v>
      </c>
      <c r="J9" s="217"/>
      <c r="K9" s="219">
        <f t="shared" si="2"/>
        <v>78.98</v>
      </c>
      <c r="L9" s="217">
        <f t="shared" si="3"/>
        <v>60.48</v>
      </c>
      <c r="M9" s="217">
        <f t="shared" si="4"/>
        <v>4.5</v>
      </c>
      <c r="N9" s="217">
        <f t="shared" si="5"/>
        <v>11.81</v>
      </c>
      <c r="O9" s="217">
        <f t="shared" si="6"/>
        <v>27.94</v>
      </c>
      <c r="P9" s="217">
        <f t="shared" si="7"/>
        <v>16.23</v>
      </c>
      <c r="Q9" s="217"/>
      <c r="R9" s="217"/>
      <c r="S9" s="217"/>
      <c r="T9" s="217"/>
      <c r="U9" s="217">
        <v>4.5</v>
      </c>
      <c r="V9" s="217">
        <v>11.81</v>
      </c>
      <c r="W9" s="217">
        <v>27.94</v>
      </c>
      <c r="X9" s="217">
        <v>16.23</v>
      </c>
      <c r="Y9" s="217"/>
      <c r="Z9" s="217"/>
      <c r="AA9" s="217"/>
      <c r="AB9" s="217"/>
      <c r="AC9" s="219">
        <v>4</v>
      </c>
      <c r="AD9" s="219">
        <v>14.5</v>
      </c>
      <c r="AE9" s="217">
        <v>11</v>
      </c>
      <c r="AF9" s="217">
        <v>1.33</v>
      </c>
      <c r="AG9" s="217">
        <v>20</v>
      </c>
      <c r="AH9" s="217">
        <v>4.3</v>
      </c>
      <c r="AI9" s="219">
        <v>137</v>
      </c>
      <c r="AJ9" s="219">
        <f t="shared" si="8"/>
        <v>242</v>
      </c>
      <c r="AK9" s="217">
        <v>35</v>
      </c>
      <c r="AL9" s="217">
        <v>157</v>
      </c>
      <c r="AM9" s="217">
        <v>40</v>
      </c>
      <c r="AN9" s="217"/>
      <c r="AO9" s="217">
        <v>10</v>
      </c>
    </row>
    <row r="10" spans="1:41" ht="12.75">
      <c r="A10" s="220" t="s">
        <v>144</v>
      </c>
      <c r="B10" s="221" t="s">
        <v>145</v>
      </c>
      <c r="C10" s="219">
        <f t="shared" si="0"/>
        <v>514</v>
      </c>
      <c r="D10" s="217"/>
      <c r="E10" s="217"/>
      <c r="F10" s="217">
        <v>514</v>
      </c>
      <c r="G10" s="219">
        <f t="shared" si="1"/>
        <v>21</v>
      </c>
      <c r="H10" s="217"/>
      <c r="I10" s="217"/>
      <c r="J10" s="217">
        <v>21</v>
      </c>
      <c r="K10" s="219">
        <f t="shared" si="2"/>
        <v>64.73</v>
      </c>
      <c r="L10" s="217">
        <f t="shared" si="3"/>
        <v>47.63</v>
      </c>
      <c r="M10" s="217">
        <f t="shared" si="4"/>
        <v>3.7</v>
      </c>
      <c r="N10" s="217">
        <f t="shared" si="5"/>
        <v>6.25</v>
      </c>
      <c r="O10" s="217">
        <f t="shared" si="6"/>
        <v>14.46</v>
      </c>
      <c r="P10" s="217">
        <f t="shared" si="7"/>
        <v>23.22</v>
      </c>
      <c r="Q10" s="217"/>
      <c r="R10" s="217"/>
      <c r="S10" s="217"/>
      <c r="T10" s="217"/>
      <c r="U10" s="217"/>
      <c r="V10" s="217"/>
      <c r="W10" s="217"/>
      <c r="X10" s="217"/>
      <c r="Y10" s="217">
        <v>3.7</v>
      </c>
      <c r="Z10" s="217">
        <v>6.25</v>
      </c>
      <c r="AA10" s="217">
        <v>14.46</v>
      </c>
      <c r="AB10" s="217">
        <f>22.22+1</f>
        <v>23.22</v>
      </c>
      <c r="AC10" s="219">
        <v>4.5</v>
      </c>
      <c r="AD10" s="219">
        <v>12.6</v>
      </c>
      <c r="AE10" s="217">
        <v>80.08</v>
      </c>
      <c r="AF10" s="217">
        <v>11.58</v>
      </c>
      <c r="AG10" s="217">
        <v>20</v>
      </c>
      <c r="AH10" s="217">
        <v>20</v>
      </c>
      <c r="AI10" s="219">
        <v>80</v>
      </c>
      <c r="AJ10" s="219">
        <f t="shared" si="8"/>
        <v>87</v>
      </c>
      <c r="AK10" s="217">
        <v>21</v>
      </c>
      <c r="AL10" s="217">
        <v>23</v>
      </c>
      <c r="AM10" s="217">
        <v>35</v>
      </c>
      <c r="AN10" s="217">
        <v>7</v>
      </c>
      <c r="AO10" s="217">
        <v>1</v>
      </c>
    </row>
    <row r="11" spans="1:41" ht="12.75">
      <c r="A11" s="220" t="s">
        <v>109</v>
      </c>
      <c r="B11" s="221">
        <v>8</v>
      </c>
      <c r="C11" s="219">
        <f t="shared" si="0"/>
        <v>437</v>
      </c>
      <c r="D11" s="217"/>
      <c r="E11" s="217">
        <v>248</v>
      </c>
      <c r="F11" s="217">
        <v>189</v>
      </c>
      <c r="G11" s="219">
        <f t="shared" si="1"/>
        <v>21</v>
      </c>
      <c r="H11" s="217"/>
      <c r="I11" s="217">
        <v>12</v>
      </c>
      <c r="J11" s="217">
        <v>9</v>
      </c>
      <c r="K11" s="219">
        <f t="shared" si="2"/>
        <v>71.14</v>
      </c>
      <c r="L11" s="217">
        <f t="shared" si="3"/>
        <v>55.6</v>
      </c>
      <c r="M11" s="217">
        <f t="shared" si="4"/>
        <v>3.14</v>
      </c>
      <c r="N11" s="217">
        <f t="shared" si="5"/>
        <v>5.81</v>
      </c>
      <c r="O11" s="217">
        <f t="shared" si="6"/>
        <v>33.98</v>
      </c>
      <c r="P11" s="217">
        <f t="shared" si="7"/>
        <v>12.67</v>
      </c>
      <c r="Q11" s="217"/>
      <c r="R11" s="217"/>
      <c r="S11" s="217"/>
      <c r="T11" s="217"/>
      <c r="U11" s="217">
        <v>1.34</v>
      </c>
      <c r="V11" s="217">
        <v>2.16</v>
      </c>
      <c r="W11" s="217">
        <v>21.31</v>
      </c>
      <c r="X11" s="217">
        <v>5.33</v>
      </c>
      <c r="Y11" s="217">
        <v>1.8</v>
      </c>
      <c r="Z11" s="217">
        <v>3.65</v>
      </c>
      <c r="AA11" s="217">
        <v>12.67</v>
      </c>
      <c r="AB11" s="217">
        <v>7.34</v>
      </c>
      <c r="AC11" s="219">
        <v>4.04</v>
      </c>
      <c r="AD11" s="219">
        <v>11.5</v>
      </c>
      <c r="AE11" s="217">
        <v>30.66</v>
      </c>
      <c r="AF11" s="217">
        <v>3.66</v>
      </c>
      <c r="AG11" s="217">
        <v>20</v>
      </c>
      <c r="AH11" s="217">
        <v>10</v>
      </c>
      <c r="AI11" s="219">
        <v>99.6</v>
      </c>
      <c r="AJ11" s="219">
        <f t="shared" si="8"/>
        <v>215</v>
      </c>
      <c r="AK11" s="217">
        <v>21</v>
      </c>
      <c r="AL11" s="217">
        <v>167</v>
      </c>
      <c r="AM11" s="217">
        <v>7</v>
      </c>
      <c r="AN11" s="217"/>
      <c r="AO11" s="217">
        <v>20</v>
      </c>
    </row>
    <row r="12" spans="1:41" ht="12.75">
      <c r="A12" s="220" t="s">
        <v>222</v>
      </c>
      <c r="B12" s="221" t="s">
        <v>148</v>
      </c>
      <c r="C12" s="219">
        <f t="shared" si="0"/>
        <v>74</v>
      </c>
      <c r="D12" s="217"/>
      <c r="E12" s="217"/>
      <c r="F12" s="217">
        <v>74</v>
      </c>
      <c r="G12" s="219">
        <f t="shared" si="1"/>
        <v>3.3</v>
      </c>
      <c r="H12" s="217"/>
      <c r="I12" s="217"/>
      <c r="J12" s="217">
        <v>3.3</v>
      </c>
      <c r="K12" s="219">
        <f t="shared" si="2"/>
        <v>19.43</v>
      </c>
      <c r="L12" s="217">
        <f t="shared" si="3"/>
        <v>8.43</v>
      </c>
      <c r="M12" s="217">
        <f t="shared" si="4"/>
        <v>0.03</v>
      </c>
      <c r="N12" s="217">
        <f t="shared" si="5"/>
        <v>1</v>
      </c>
      <c r="O12" s="217">
        <f t="shared" si="6"/>
        <v>5.7</v>
      </c>
      <c r="P12" s="217">
        <f t="shared" si="7"/>
        <v>1.7</v>
      </c>
      <c r="Q12" s="217"/>
      <c r="R12" s="217"/>
      <c r="S12" s="217"/>
      <c r="T12" s="217"/>
      <c r="U12" s="217"/>
      <c r="V12" s="217"/>
      <c r="W12" s="217"/>
      <c r="X12" s="217"/>
      <c r="Y12" s="217">
        <v>0.03</v>
      </c>
      <c r="Z12" s="217">
        <v>1</v>
      </c>
      <c r="AA12" s="217">
        <v>5.7</v>
      </c>
      <c r="AB12" s="217">
        <v>1.7</v>
      </c>
      <c r="AC12" s="219">
        <v>3.5</v>
      </c>
      <c r="AD12" s="219">
        <v>7.5</v>
      </c>
      <c r="AE12" s="217">
        <v>13.3</v>
      </c>
      <c r="AF12" s="217">
        <v>1.3</v>
      </c>
      <c r="AG12" s="217">
        <v>10</v>
      </c>
      <c r="AH12" s="217"/>
      <c r="AI12" s="219"/>
      <c r="AJ12" s="219">
        <f t="shared" si="8"/>
        <v>52.33</v>
      </c>
      <c r="AK12" s="217">
        <v>3.32</v>
      </c>
      <c r="AL12" s="217">
        <v>27.67</v>
      </c>
      <c r="AM12" s="217">
        <v>11.67</v>
      </c>
      <c r="AN12" s="217">
        <v>9.67</v>
      </c>
      <c r="AO12" s="217"/>
    </row>
    <row r="13" spans="1:41" ht="12.75">
      <c r="A13" s="220" t="s">
        <v>110</v>
      </c>
      <c r="B13" s="221">
        <v>10</v>
      </c>
      <c r="C13" s="219">
        <f t="shared" si="0"/>
        <v>680.91</v>
      </c>
      <c r="D13" s="217">
        <v>64.16</v>
      </c>
      <c r="E13" s="217">
        <v>616.75</v>
      </c>
      <c r="F13" s="217"/>
      <c r="G13" s="219">
        <f t="shared" si="1"/>
        <v>29.67</v>
      </c>
      <c r="H13" s="217">
        <v>3</v>
      </c>
      <c r="I13" s="217">
        <v>26.67</v>
      </c>
      <c r="J13" s="217"/>
      <c r="K13" s="219">
        <f t="shared" si="2"/>
        <v>99.28</v>
      </c>
      <c r="L13" s="217">
        <f t="shared" si="3"/>
        <v>74.03</v>
      </c>
      <c r="M13" s="217">
        <f t="shared" si="4"/>
        <v>4.62</v>
      </c>
      <c r="N13" s="217">
        <f t="shared" si="5"/>
        <v>14.72</v>
      </c>
      <c r="O13" s="217">
        <f t="shared" si="6"/>
        <v>26.08</v>
      </c>
      <c r="P13" s="217">
        <f t="shared" si="7"/>
        <v>28.61</v>
      </c>
      <c r="Q13" s="217">
        <v>0.74</v>
      </c>
      <c r="R13" s="217">
        <v>0.94</v>
      </c>
      <c r="S13" s="217">
        <v>2.47</v>
      </c>
      <c r="T13" s="217">
        <v>0.47</v>
      </c>
      <c r="U13" s="217">
        <v>3.88</v>
      </c>
      <c r="V13" s="217">
        <v>13.78</v>
      </c>
      <c r="W13" s="217">
        <v>23.61</v>
      </c>
      <c r="X13" s="217">
        <v>28.14</v>
      </c>
      <c r="Y13" s="217"/>
      <c r="Z13" s="217"/>
      <c r="AA13" s="217"/>
      <c r="AB13" s="217"/>
      <c r="AC13" s="219">
        <v>6</v>
      </c>
      <c r="AD13" s="219">
        <v>19.25</v>
      </c>
      <c r="AE13" s="217">
        <v>54.67</v>
      </c>
      <c r="AF13" s="217">
        <v>7.42</v>
      </c>
      <c r="AG13" s="217">
        <v>20</v>
      </c>
      <c r="AH13" s="217">
        <v>1.67</v>
      </c>
      <c r="AI13" s="219">
        <v>95.83</v>
      </c>
      <c r="AJ13" s="219">
        <f t="shared" si="8"/>
        <v>208.08</v>
      </c>
      <c r="AK13" s="217">
        <v>20</v>
      </c>
      <c r="AL13" s="217">
        <v>113.25</v>
      </c>
      <c r="AM13" s="217">
        <v>48.91</v>
      </c>
      <c r="AN13" s="217">
        <v>4.17</v>
      </c>
      <c r="AO13" s="217">
        <v>21.75</v>
      </c>
    </row>
    <row r="14" spans="1:41" ht="12.75">
      <c r="A14" s="220" t="s">
        <v>111</v>
      </c>
      <c r="B14" s="221">
        <v>11</v>
      </c>
      <c r="C14" s="219">
        <f t="shared" si="0"/>
        <v>434</v>
      </c>
      <c r="D14" s="217">
        <v>24</v>
      </c>
      <c r="E14" s="217">
        <v>213</v>
      </c>
      <c r="F14" s="217">
        <v>197</v>
      </c>
      <c r="G14" s="219">
        <f t="shared" si="1"/>
        <v>21</v>
      </c>
      <c r="H14" s="217">
        <v>1</v>
      </c>
      <c r="I14" s="217">
        <v>11</v>
      </c>
      <c r="J14" s="217">
        <v>9</v>
      </c>
      <c r="K14" s="219">
        <f t="shared" si="2"/>
        <v>62.75</v>
      </c>
      <c r="L14" s="217">
        <f t="shared" si="3"/>
        <v>47.54</v>
      </c>
      <c r="M14" s="217">
        <f t="shared" si="4"/>
        <v>0.91</v>
      </c>
      <c r="N14" s="217">
        <f t="shared" si="5"/>
        <v>10.47</v>
      </c>
      <c r="O14" s="217">
        <f t="shared" si="6"/>
        <v>24.82</v>
      </c>
      <c r="P14" s="217">
        <f t="shared" si="7"/>
        <v>11.34</v>
      </c>
      <c r="Q14" s="217"/>
      <c r="R14" s="217">
        <v>0.03</v>
      </c>
      <c r="S14" s="217">
        <v>1.18</v>
      </c>
      <c r="T14" s="217"/>
      <c r="U14" s="217">
        <v>0.61</v>
      </c>
      <c r="V14" s="217">
        <v>5.72</v>
      </c>
      <c r="W14" s="217">
        <v>12.34</v>
      </c>
      <c r="X14" s="217">
        <v>3.55</v>
      </c>
      <c r="Y14" s="217">
        <v>0.3</v>
      </c>
      <c r="Z14" s="217">
        <v>4.72</v>
      </c>
      <c r="AA14" s="217">
        <v>11.3</v>
      </c>
      <c r="AB14" s="217">
        <v>7.79</v>
      </c>
      <c r="AC14" s="219">
        <v>4.5</v>
      </c>
      <c r="AD14" s="219">
        <v>10.71</v>
      </c>
      <c r="AE14" s="217">
        <v>19</v>
      </c>
      <c r="AF14" s="217">
        <v>5.5</v>
      </c>
      <c r="AG14" s="217">
        <v>20</v>
      </c>
      <c r="AH14" s="217">
        <v>10</v>
      </c>
      <c r="AI14" s="219">
        <v>50.42</v>
      </c>
      <c r="AJ14" s="219">
        <f t="shared" si="8"/>
        <v>155</v>
      </c>
      <c r="AK14" s="217">
        <v>17</v>
      </c>
      <c r="AL14" s="217">
        <v>96</v>
      </c>
      <c r="AM14" s="217">
        <v>36</v>
      </c>
      <c r="AN14" s="217"/>
      <c r="AO14" s="217">
        <v>6</v>
      </c>
    </row>
    <row r="15" spans="1:41" ht="12.75">
      <c r="A15" s="220" t="s">
        <v>112</v>
      </c>
      <c r="B15" s="221">
        <v>12</v>
      </c>
      <c r="C15" s="219">
        <f t="shared" si="0"/>
        <v>885.99</v>
      </c>
      <c r="D15" s="217">
        <v>54.33</v>
      </c>
      <c r="E15" s="217">
        <v>528.33</v>
      </c>
      <c r="F15" s="217">
        <v>303.33</v>
      </c>
      <c r="G15" s="219">
        <f t="shared" si="1"/>
        <v>36.99</v>
      </c>
      <c r="H15" s="217">
        <v>2.66</v>
      </c>
      <c r="I15" s="217">
        <v>22</v>
      </c>
      <c r="J15" s="217">
        <v>12.33</v>
      </c>
      <c r="K15" s="219">
        <f t="shared" si="2"/>
        <v>102.68</v>
      </c>
      <c r="L15" s="217">
        <f t="shared" si="3"/>
        <v>77.95</v>
      </c>
      <c r="M15" s="217">
        <f t="shared" si="4"/>
        <v>2.24</v>
      </c>
      <c r="N15" s="217">
        <f t="shared" si="5"/>
        <v>13.75</v>
      </c>
      <c r="O15" s="217">
        <f t="shared" si="6"/>
        <v>41.79</v>
      </c>
      <c r="P15" s="217">
        <f t="shared" si="7"/>
        <v>20.17</v>
      </c>
      <c r="Q15" s="217">
        <v>0.76</v>
      </c>
      <c r="R15" s="217"/>
      <c r="S15" s="217">
        <v>2.28</v>
      </c>
      <c r="T15" s="217"/>
      <c r="U15" s="217">
        <v>0.95</v>
      </c>
      <c r="V15" s="217">
        <v>9.38</v>
      </c>
      <c r="W15" s="217">
        <v>22.26</v>
      </c>
      <c r="X15" s="217">
        <v>8.98</v>
      </c>
      <c r="Y15" s="217">
        <v>0.53</v>
      </c>
      <c r="Z15" s="217">
        <v>4.37</v>
      </c>
      <c r="AA15" s="217">
        <v>17.25</v>
      </c>
      <c r="AB15" s="217">
        <v>11.19</v>
      </c>
      <c r="AC15" s="219">
        <v>6.1</v>
      </c>
      <c r="AD15" s="219">
        <v>18.63</v>
      </c>
      <c r="AE15" s="217">
        <v>35.08</v>
      </c>
      <c r="AF15" s="217">
        <v>3.66</v>
      </c>
      <c r="AG15" s="217">
        <v>20</v>
      </c>
      <c r="AH15" s="217">
        <v>20</v>
      </c>
      <c r="AI15" s="219">
        <v>127</v>
      </c>
      <c r="AJ15" s="219">
        <f t="shared" si="8"/>
        <v>301.98</v>
      </c>
      <c r="AK15" s="217">
        <v>30.33</v>
      </c>
      <c r="AL15" s="217">
        <v>207.66</v>
      </c>
      <c r="AM15" s="217">
        <v>24.67</v>
      </c>
      <c r="AN15" s="217">
        <v>11.66</v>
      </c>
      <c r="AO15" s="217">
        <v>27.66</v>
      </c>
    </row>
    <row r="16" spans="1:41" ht="12.75">
      <c r="A16" s="220" t="s">
        <v>113</v>
      </c>
      <c r="B16" s="221">
        <v>13</v>
      </c>
      <c r="C16" s="219">
        <f t="shared" si="0"/>
        <v>305</v>
      </c>
      <c r="D16" s="217">
        <v>35</v>
      </c>
      <c r="E16" s="217">
        <v>270</v>
      </c>
      <c r="F16" s="217"/>
      <c r="G16" s="219">
        <f t="shared" si="1"/>
        <v>14.4</v>
      </c>
      <c r="H16" s="217">
        <v>1.7</v>
      </c>
      <c r="I16" s="217">
        <v>12.7</v>
      </c>
      <c r="J16" s="217"/>
      <c r="K16" s="219">
        <f t="shared" si="2"/>
        <v>49.61</v>
      </c>
      <c r="L16" s="217">
        <f t="shared" si="3"/>
        <v>34.61</v>
      </c>
      <c r="M16" s="217">
        <f t="shared" si="4"/>
        <v>3.95</v>
      </c>
      <c r="N16" s="217">
        <f t="shared" si="5"/>
        <v>3.77</v>
      </c>
      <c r="O16" s="217">
        <f t="shared" si="6"/>
        <v>15.79</v>
      </c>
      <c r="P16" s="217">
        <f t="shared" si="7"/>
        <v>11.1</v>
      </c>
      <c r="Q16" s="217">
        <v>0.39</v>
      </c>
      <c r="R16" s="217"/>
      <c r="S16" s="217">
        <v>1.11</v>
      </c>
      <c r="T16" s="217">
        <v>0.8</v>
      </c>
      <c r="U16" s="217">
        <v>3.56</v>
      </c>
      <c r="V16" s="217">
        <v>3.77</v>
      </c>
      <c r="W16" s="217">
        <v>14.68</v>
      </c>
      <c r="X16" s="217">
        <v>10.3</v>
      </c>
      <c r="Y16" s="217"/>
      <c r="Z16" s="217"/>
      <c r="AA16" s="217"/>
      <c r="AB16" s="217"/>
      <c r="AC16" s="219">
        <v>4</v>
      </c>
      <c r="AD16" s="219">
        <v>11</v>
      </c>
      <c r="AE16" s="217">
        <v>14.4</v>
      </c>
      <c r="AF16" s="217">
        <v>16.3</v>
      </c>
      <c r="AG16" s="217">
        <v>20</v>
      </c>
      <c r="AH16" s="217"/>
      <c r="AI16" s="219">
        <v>73</v>
      </c>
      <c r="AJ16" s="219">
        <f t="shared" si="8"/>
        <v>151</v>
      </c>
      <c r="AK16" s="217">
        <v>12</v>
      </c>
      <c r="AL16" s="217">
        <v>77</v>
      </c>
      <c r="AM16" s="217">
        <v>31</v>
      </c>
      <c r="AN16" s="217">
        <v>23</v>
      </c>
      <c r="AO16" s="217">
        <v>8</v>
      </c>
    </row>
    <row r="17" spans="1:41" ht="12.75">
      <c r="A17" s="220" t="s">
        <v>151</v>
      </c>
      <c r="B17" s="221">
        <v>14</v>
      </c>
      <c r="C17" s="219">
        <f t="shared" si="0"/>
        <v>313</v>
      </c>
      <c r="D17" s="217"/>
      <c r="E17" s="217">
        <v>164.33</v>
      </c>
      <c r="F17" s="217">
        <v>148.67</v>
      </c>
      <c r="G17" s="219">
        <f t="shared" si="1"/>
        <v>12</v>
      </c>
      <c r="H17" s="217"/>
      <c r="I17" s="217">
        <v>6</v>
      </c>
      <c r="J17" s="217">
        <v>6</v>
      </c>
      <c r="K17" s="219">
        <f t="shared" si="2"/>
        <v>57.12</v>
      </c>
      <c r="L17" s="217">
        <f t="shared" si="3"/>
        <v>40.37</v>
      </c>
      <c r="M17" s="217">
        <f t="shared" si="4"/>
        <v>5.04</v>
      </c>
      <c r="N17" s="217">
        <f t="shared" si="5"/>
        <v>7.79</v>
      </c>
      <c r="O17" s="217">
        <f t="shared" si="6"/>
        <v>20.53</v>
      </c>
      <c r="P17" s="217">
        <f t="shared" si="7"/>
        <v>7.01</v>
      </c>
      <c r="Q17" s="217"/>
      <c r="R17" s="217"/>
      <c r="S17" s="217"/>
      <c r="T17" s="217"/>
      <c r="U17" s="217">
        <v>3.77</v>
      </c>
      <c r="V17" s="217">
        <v>4.36</v>
      </c>
      <c r="W17" s="217">
        <v>8.36</v>
      </c>
      <c r="X17" s="217">
        <v>3.44</v>
      </c>
      <c r="Y17" s="217">
        <v>1.27</v>
      </c>
      <c r="Z17" s="217">
        <v>3.43</v>
      </c>
      <c r="AA17" s="217">
        <v>12.17</v>
      </c>
      <c r="AB17" s="217">
        <v>3.57</v>
      </c>
      <c r="AC17" s="219">
        <v>4.5</v>
      </c>
      <c r="AD17" s="219">
        <v>12.25</v>
      </c>
      <c r="AE17" s="217"/>
      <c r="AF17" s="217"/>
      <c r="AG17" s="217">
        <v>14</v>
      </c>
      <c r="AH17" s="217">
        <v>13</v>
      </c>
      <c r="AI17" s="219"/>
      <c r="AJ17" s="219">
        <f t="shared" si="8"/>
        <v>291</v>
      </c>
      <c r="AK17" s="217">
        <v>12</v>
      </c>
      <c r="AL17" s="217">
        <v>238</v>
      </c>
      <c r="AM17" s="217">
        <v>4</v>
      </c>
      <c r="AN17" s="217"/>
      <c r="AO17" s="217">
        <v>37</v>
      </c>
    </row>
    <row r="18" spans="1:41" ht="12.75">
      <c r="A18" s="220" t="s">
        <v>115</v>
      </c>
      <c r="B18" s="221">
        <v>16</v>
      </c>
      <c r="C18" s="219">
        <f t="shared" si="0"/>
        <v>422</v>
      </c>
      <c r="D18" s="217">
        <v>45</v>
      </c>
      <c r="E18" s="217">
        <v>377</v>
      </c>
      <c r="F18" s="217"/>
      <c r="G18" s="219">
        <f t="shared" si="1"/>
        <v>19</v>
      </c>
      <c r="H18" s="217">
        <v>2</v>
      </c>
      <c r="I18" s="217">
        <v>17</v>
      </c>
      <c r="J18" s="217"/>
      <c r="K18" s="219">
        <f t="shared" si="2"/>
        <v>55.66</v>
      </c>
      <c r="L18" s="217">
        <f t="shared" si="3"/>
        <v>39.16</v>
      </c>
      <c r="M18" s="217">
        <f t="shared" si="4"/>
        <v>0.08</v>
      </c>
      <c r="N18" s="217">
        <f t="shared" si="5"/>
        <v>4.08</v>
      </c>
      <c r="O18" s="217">
        <f t="shared" si="6"/>
        <v>24.33</v>
      </c>
      <c r="P18" s="217">
        <f t="shared" si="7"/>
        <v>10.67</v>
      </c>
      <c r="Q18" s="217"/>
      <c r="R18" s="217">
        <v>0.41</v>
      </c>
      <c r="S18" s="217">
        <v>1.92</v>
      </c>
      <c r="T18" s="217"/>
      <c r="U18" s="217">
        <v>0.08</v>
      </c>
      <c r="V18" s="217">
        <v>3.67</v>
      </c>
      <c r="W18" s="217">
        <v>22.41</v>
      </c>
      <c r="X18" s="217">
        <v>10.67</v>
      </c>
      <c r="Y18" s="217"/>
      <c r="Z18" s="217"/>
      <c r="AA18" s="217"/>
      <c r="AB18" s="217"/>
      <c r="AC18" s="219">
        <v>4.5</v>
      </c>
      <c r="AD18" s="219">
        <v>12</v>
      </c>
      <c r="AE18" s="223">
        <v>33</v>
      </c>
      <c r="AF18" s="223">
        <v>5</v>
      </c>
      <c r="AG18" s="223">
        <v>20</v>
      </c>
      <c r="AH18" s="223"/>
      <c r="AI18" s="219">
        <v>90</v>
      </c>
      <c r="AJ18" s="219">
        <f t="shared" si="8"/>
        <v>175</v>
      </c>
      <c r="AK18" s="217">
        <v>19</v>
      </c>
      <c r="AL18" s="217">
        <v>123</v>
      </c>
      <c r="AM18" s="217">
        <v>18</v>
      </c>
      <c r="AN18" s="217">
        <v>5</v>
      </c>
      <c r="AO18" s="217">
        <v>10</v>
      </c>
    </row>
    <row r="19" spans="1:41" ht="12.75">
      <c r="A19" s="220" t="s">
        <v>116</v>
      </c>
      <c r="B19" s="221">
        <v>17</v>
      </c>
      <c r="C19" s="219">
        <f t="shared" si="0"/>
        <v>499.3</v>
      </c>
      <c r="D19" s="217">
        <v>62.5</v>
      </c>
      <c r="E19" s="217">
        <v>436.8</v>
      </c>
      <c r="F19" s="217"/>
      <c r="G19" s="219">
        <f t="shared" si="1"/>
        <v>20.66</v>
      </c>
      <c r="H19" s="217">
        <v>3</v>
      </c>
      <c r="I19" s="217">
        <v>17.66</v>
      </c>
      <c r="J19" s="217"/>
      <c r="K19" s="219">
        <f t="shared" si="2"/>
        <v>58.52</v>
      </c>
      <c r="L19" s="217">
        <f t="shared" si="3"/>
        <v>41.41</v>
      </c>
      <c r="M19" s="217">
        <f t="shared" si="4"/>
        <v>2.93</v>
      </c>
      <c r="N19" s="217">
        <f t="shared" si="5"/>
        <v>4.55</v>
      </c>
      <c r="O19" s="217">
        <f t="shared" si="6"/>
        <v>15.82</v>
      </c>
      <c r="P19" s="217">
        <f t="shared" si="7"/>
        <v>18.11</v>
      </c>
      <c r="Q19" s="217"/>
      <c r="R19" s="217">
        <v>1.13</v>
      </c>
      <c r="S19" s="217">
        <v>2.35</v>
      </c>
      <c r="T19" s="217"/>
      <c r="U19" s="217">
        <v>2.93</v>
      </c>
      <c r="V19" s="217">
        <v>3.42</v>
      </c>
      <c r="W19" s="217">
        <v>13.47</v>
      </c>
      <c r="X19" s="217">
        <v>18.11</v>
      </c>
      <c r="Y19" s="217"/>
      <c r="Z19" s="217"/>
      <c r="AA19" s="217"/>
      <c r="AB19" s="217"/>
      <c r="AC19" s="219">
        <v>4</v>
      </c>
      <c r="AD19" s="219">
        <v>13.11</v>
      </c>
      <c r="AE19" s="223">
        <v>25.66</v>
      </c>
      <c r="AF19" s="223">
        <v>5.26</v>
      </c>
      <c r="AG19" s="223">
        <v>24</v>
      </c>
      <c r="AH19" s="223"/>
      <c r="AI19" s="219">
        <v>93</v>
      </c>
      <c r="AJ19" s="219">
        <f t="shared" si="8"/>
        <v>150</v>
      </c>
      <c r="AK19" s="217">
        <v>18</v>
      </c>
      <c r="AL19" s="217">
        <v>90</v>
      </c>
      <c r="AM19" s="217">
        <v>35</v>
      </c>
      <c r="AN19" s="217">
        <v>6</v>
      </c>
      <c r="AO19" s="217">
        <v>1</v>
      </c>
    </row>
    <row r="20" spans="1:41" ht="12.75">
      <c r="A20" s="220" t="s">
        <v>117</v>
      </c>
      <c r="B20" s="221">
        <v>18</v>
      </c>
      <c r="C20" s="219">
        <f t="shared" si="0"/>
        <v>802</v>
      </c>
      <c r="D20" s="217"/>
      <c r="E20" s="217">
        <v>802</v>
      </c>
      <c r="F20" s="217"/>
      <c r="G20" s="219">
        <f t="shared" si="1"/>
        <v>32</v>
      </c>
      <c r="H20" s="217"/>
      <c r="I20" s="217">
        <v>32</v>
      </c>
      <c r="J20" s="217"/>
      <c r="K20" s="219">
        <f t="shared" si="2"/>
        <v>81.9</v>
      </c>
      <c r="L20" s="217">
        <f t="shared" si="3"/>
        <v>61.9</v>
      </c>
      <c r="M20" s="217">
        <f t="shared" si="4"/>
        <v>3.28</v>
      </c>
      <c r="N20" s="217">
        <f t="shared" si="5"/>
        <v>8.75</v>
      </c>
      <c r="O20" s="217">
        <f t="shared" si="6"/>
        <v>28.87</v>
      </c>
      <c r="P20" s="217">
        <f t="shared" si="7"/>
        <v>21</v>
      </c>
      <c r="Q20" s="217"/>
      <c r="R20" s="217"/>
      <c r="S20" s="217"/>
      <c r="T20" s="217"/>
      <c r="U20" s="217">
        <v>3.28</v>
      </c>
      <c r="V20" s="217">
        <v>8.75</v>
      </c>
      <c r="W20" s="217">
        <v>28.87</v>
      </c>
      <c r="X20" s="217">
        <v>21</v>
      </c>
      <c r="Y20" s="217"/>
      <c r="Z20" s="217"/>
      <c r="AA20" s="217"/>
      <c r="AB20" s="217"/>
      <c r="AC20" s="219">
        <v>4.5</v>
      </c>
      <c r="AD20" s="219">
        <v>15.5</v>
      </c>
      <c r="AE20" s="223">
        <v>7</v>
      </c>
      <c r="AF20" s="223">
        <v>1</v>
      </c>
      <c r="AG20" s="223">
        <v>20</v>
      </c>
      <c r="AH20" s="223"/>
      <c r="AI20" s="219">
        <v>163</v>
      </c>
      <c r="AJ20" s="219">
        <f t="shared" si="8"/>
        <v>364</v>
      </c>
      <c r="AK20" s="217">
        <v>32</v>
      </c>
      <c r="AL20" s="217">
        <v>309</v>
      </c>
      <c r="AM20" s="217">
        <v>17</v>
      </c>
      <c r="AN20" s="217"/>
      <c r="AO20" s="217">
        <v>6</v>
      </c>
    </row>
    <row r="21" spans="1:41" ht="12.75">
      <c r="A21" s="220" t="s">
        <v>175</v>
      </c>
      <c r="B21" s="221" t="s">
        <v>154</v>
      </c>
      <c r="C21" s="219">
        <f t="shared" si="0"/>
        <v>393</v>
      </c>
      <c r="D21" s="217"/>
      <c r="E21" s="217"/>
      <c r="F21" s="217">
        <v>393</v>
      </c>
      <c r="G21" s="219">
        <f t="shared" si="1"/>
        <v>14</v>
      </c>
      <c r="H21" s="217"/>
      <c r="I21" s="217"/>
      <c r="J21" s="217">
        <v>14</v>
      </c>
      <c r="K21" s="219">
        <f t="shared" si="2"/>
        <v>50.87</v>
      </c>
      <c r="L21" s="217">
        <f t="shared" si="3"/>
        <v>35.79</v>
      </c>
      <c r="M21" s="217">
        <f t="shared" si="4"/>
        <v>2.04</v>
      </c>
      <c r="N21" s="217">
        <f t="shared" si="5"/>
        <v>7.97</v>
      </c>
      <c r="O21" s="217">
        <f t="shared" si="6"/>
        <v>12.81</v>
      </c>
      <c r="P21" s="217">
        <f t="shared" si="7"/>
        <v>12.97</v>
      </c>
      <c r="Q21" s="217"/>
      <c r="R21" s="217"/>
      <c r="S21" s="217"/>
      <c r="T21" s="217"/>
      <c r="U21" s="217"/>
      <c r="V21" s="217"/>
      <c r="W21" s="217"/>
      <c r="X21" s="217"/>
      <c r="Y21" s="217">
        <v>2.04</v>
      </c>
      <c r="Z21" s="217">
        <v>7.97</v>
      </c>
      <c r="AA21" s="217">
        <v>12.81</v>
      </c>
      <c r="AB21" s="217">
        <v>12.97</v>
      </c>
      <c r="AC21" s="219">
        <v>4.25</v>
      </c>
      <c r="AD21" s="219">
        <v>10.83</v>
      </c>
      <c r="AE21" s="217">
        <v>10</v>
      </c>
      <c r="AF21" s="217">
        <v>2</v>
      </c>
      <c r="AG21" s="217">
        <v>10</v>
      </c>
      <c r="AH21" s="217">
        <v>10</v>
      </c>
      <c r="AI21" s="219"/>
      <c r="AJ21" s="219">
        <f t="shared" si="8"/>
        <v>130</v>
      </c>
      <c r="AK21" s="217">
        <v>20</v>
      </c>
      <c r="AL21" s="217">
        <v>66</v>
      </c>
      <c r="AM21" s="217">
        <v>32</v>
      </c>
      <c r="AN21" s="217">
        <v>7</v>
      </c>
      <c r="AO21" s="217">
        <v>5</v>
      </c>
    </row>
    <row r="22" spans="1:41" ht="12.75">
      <c r="A22" s="220" t="s">
        <v>118</v>
      </c>
      <c r="B22" s="221">
        <v>20</v>
      </c>
      <c r="C22" s="219">
        <f t="shared" si="0"/>
        <v>513</v>
      </c>
      <c r="D22" s="217">
        <v>43</v>
      </c>
      <c r="E22" s="217">
        <v>470</v>
      </c>
      <c r="F22" s="217"/>
      <c r="G22" s="219">
        <f t="shared" si="1"/>
        <v>21</v>
      </c>
      <c r="H22" s="217">
        <v>2</v>
      </c>
      <c r="I22" s="217">
        <v>19</v>
      </c>
      <c r="J22" s="217"/>
      <c r="K22" s="219">
        <f t="shared" si="2"/>
        <v>55.41</v>
      </c>
      <c r="L22" s="217">
        <f t="shared" si="3"/>
        <v>40.34</v>
      </c>
      <c r="M22" s="217">
        <f t="shared" si="4"/>
        <v>3.4</v>
      </c>
      <c r="N22" s="217">
        <f t="shared" si="5"/>
        <v>9.96</v>
      </c>
      <c r="O22" s="217">
        <f t="shared" si="6"/>
        <v>16.51</v>
      </c>
      <c r="P22" s="217">
        <f t="shared" si="7"/>
        <v>10.47</v>
      </c>
      <c r="Q22" s="217"/>
      <c r="R22" s="217">
        <v>0.26</v>
      </c>
      <c r="S22" s="217">
        <v>2.1</v>
      </c>
      <c r="T22" s="217"/>
      <c r="U22" s="217">
        <v>3.4</v>
      </c>
      <c r="V22" s="217">
        <v>9.7</v>
      </c>
      <c r="W22" s="217">
        <v>14.41</v>
      </c>
      <c r="X22" s="217">
        <v>10.47</v>
      </c>
      <c r="Y22" s="217"/>
      <c r="Z22" s="217"/>
      <c r="AA22" s="217"/>
      <c r="AB22" s="217"/>
      <c r="AC22" s="219">
        <v>4.07</v>
      </c>
      <c r="AD22" s="219">
        <v>11</v>
      </c>
      <c r="AE22" s="217">
        <v>1.3</v>
      </c>
      <c r="AF22" s="217">
        <v>1</v>
      </c>
      <c r="AG22" s="217">
        <v>20</v>
      </c>
      <c r="AH22" s="217"/>
      <c r="AI22" s="219">
        <v>163</v>
      </c>
      <c r="AJ22" s="219">
        <f t="shared" si="8"/>
        <v>153</v>
      </c>
      <c r="AK22" s="217">
        <v>17</v>
      </c>
      <c r="AL22" s="217">
        <v>113</v>
      </c>
      <c r="AM22" s="217">
        <v>21</v>
      </c>
      <c r="AN22" s="217">
        <v>2</v>
      </c>
      <c r="AO22" s="217"/>
    </row>
    <row r="23" spans="1:41" ht="12.75">
      <c r="A23" s="220" t="s">
        <v>119</v>
      </c>
      <c r="B23" s="221">
        <v>21</v>
      </c>
      <c r="C23" s="219">
        <f t="shared" si="0"/>
        <v>484.25</v>
      </c>
      <c r="D23" s="217">
        <v>28.16</v>
      </c>
      <c r="E23" s="217">
        <v>456.09</v>
      </c>
      <c r="F23" s="217"/>
      <c r="G23" s="219">
        <f t="shared" si="1"/>
        <v>20.66</v>
      </c>
      <c r="H23" s="217">
        <v>1</v>
      </c>
      <c r="I23" s="217">
        <v>19.66</v>
      </c>
      <c r="J23" s="217"/>
      <c r="K23" s="219">
        <f t="shared" si="2"/>
        <v>66.19</v>
      </c>
      <c r="L23" s="217">
        <f t="shared" si="3"/>
        <v>46.61</v>
      </c>
      <c r="M23" s="217">
        <f t="shared" si="4"/>
        <v>4.07</v>
      </c>
      <c r="N23" s="217">
        <f t="shared" si="5"/>
        <v>4.45</v>
      </c>
      <c r="O23" s="217">
        <f t="shared" si="6"/>
        <v>22.15</v>
      </c>
      <c r="P23" s="217">
        <f t="shared" si="7"/>
        <v>15.94</v>
      </c>
      <c r="Q23" s="217"/>
      <c r="R23" s="217"/>
      <c r="S23" s="217">
        <v>1.14</v>
      </c>
      <c r="T23" s="217"/>
      <c r="U23" s="217">
        <v>4.07</v>
      </c>
      <c r="V23" s="217">
        <v>4.45</v>
      </c>
      <c r="W23" s="217">
        <v>21.01</v>
      </c>
      <c r="X23" s="217">
        <v>15.94</v>
      </c>
      <c r="Y23" s="217"/>
      <c r="Z23" s="217"/>
      <c r="AA23" s="217"/>
      <c r="AB23" s="217"/>
      <c r="AC23" s="219">
        <v>4.44</v>
      </c>
      <c r="AD23" s="219">
        <v>15.14</v>
      </c>
      <c r="AE23" s="217">
        <v>8</v>
      </c>
      <c r="AF23" s="217">
        <v>1</v>
      </c>
      <c r="AG23" s="217">
        <v>20</v>
      </c>
      <c r="AH23" s="217"/>
      <c r="AI23" s="219">
        <v>158.66</v>
      </c>
      <c r="AJ23" s="219">
        <f t="shared" si="8"/>
        <v>192.8</v>
      </c>
      <c r="AK23" s="217">
        <v>16.3</v>
      </c>
      <c r="AL23" s="217">
        <v>146.5</v>
      </c>
      <c r="AM23" s="217">
        <v>22.4</v>
      </c>
      <c r="AN23" s="217"/>
      <c r="AO23" s="217">
        <v>7.6</v>
      </c>
    </row>
    <row r="24" spans="1:41" ht="12.75">
      <c r="A24" s="220" t="s">
        <v>120</v>
      </c>
      <c r="B24" s="221">
        <v>23</v>
      </c>
      <c r="C24" s="219">
        <f t="shared" si="0"/>
        <v>357</v>
      </c>
      <c r="D24" s="217">
        <v>44</v>
      </c>
      <c r="E24" s="217">
        <v>313</v>
      </c>
      <c r="F24" s="217"/>
      <c r="G24" s="219">
        <f t="shared" si="1"/>
        <v>15.66</v>
      </c>
      <c r="H24" s="217">
        <v>2</v>
      </c>
      <c r="I24" s="217">
        <v>13.66</v>
      </c>
      <c r="J24" s="217"/>
      <c r="K24" s="219">
        <f t="shared" si="2"/>
        <v>50.83</v>
      </c>
      <c r="L24" s="217">
        <f t="shared" si="3"/>
        <v>33.83</v>
      </c>
      <c r="M24" s="217">
        <f t="shared" si="4"/>
        <v>1.5</v>
      </c>
      <c r="N24" s="217">
        <f t="shared" si="5"/>
        <v>2.26</v>
      </c>
      <c r="O24" s="217">
        <f t="shared" si="6"/>
        <v>23.94</v>
      </c>
      <c r="P24" s="217">
        <f t="shared" si="7"/>
        <v>6.13</v>
      </c>
      <c r="Q24" s="217"/>
      <c r="R24" s="217"/>
      <c r="S24" s="217">
        <v>2.3</v>
      </c>
      <c r="T24" s="217"/>
      <c r="U24" s="217">
        <v>1.5</v>
      </c>
      <c r="V24" s="217">
        <v>2.26</v>
      </c>
      <c r="W24" s="217">
        <v>21.64</v>
      </c>
      <c r="X24" s="217">
        <v>6.13</v>
      </c>
      <c r="Y24" s="217"/>
      <c r="Z24" s="217"/>
      <c r="AA24" s="217"/>
      <c r="AB24" s="217"/>
      <c r="AC24" s="219">
        <v>4</v>
      </c>
      <c r="AD24" s="219">
        <v>13</v>
      </c>
      <c r="AE24" s="217">
        <v>19.33</v>
      </c>
      <c r="AF24" s="217">
        <v>2.33</v>
      </c>
      <c r="AG24" s="217">
        <v>20</v>
      </c>
      <c r="AH24" s="217"/>
      <c r="AI24" s="219">
        <v>90.33</v>
      </c>
      <c r="AJ24" s="219">
        <f t="shared" si="8"/>
        <v>152</v>
      </c>
      <c r="AK24" s="217">
        <v>16</v>
      </c>
      <c r="AL24" s="217">
        <v>88</v>
      </c>
      <c r="AM24" s="217">
        <v>42</v>
      </c>
      <c r="AN24" s="217">
        <v>2</v>
      </c>
      <c r="AO24" s="217">
        <v>4</v>
      </c>
    </row>
    <row r="25" spans="1:41" ht="12.75">
      <c r="A25" s="220" t="s">
        <v>121</v>
      </c>
      <c r="B25" s="221">
        <v>26</v>
      </c>
      <c r="C25" s="219">
        <f t="shared" si="0"/>
        <v>275.32</v>
      </c>
      <c r="D25" s="217">
        <v>38.66</v>
      </c>
      <c r="E25" s="217">
        <v>236.66</v>
      </c>
      <c r="F25" s="217"/>
      <c r="G25" s="219">
        <f t="shared" si="1"/>
        <v>15.66</v>
      </c>
      <c r="H25" s="217">
        <v>2</v>
      </c>
      <c r="I25" s="217">
        <v>13.66</v>
      </c>
      <c r="J25" s="217"/>
      <c r="K25" s="219">
        <f t="shared" si="2"/>
        <v>51.82</v>
      </c>
      <c r="L25" s="217">
        <f t="shared" si="3"/>
        <v>33.4</v>
      </c>
      <c r="M25" s="217">
        <f t="shared" si="4"/>
        <v>1.98</v>
      </c>
      <c r="N25" s="217">
        <f t="shared" si="5"/>
        <v>3.79</v>
      </c>
      <c r="O25" s="217">
        <f t="shared" si="6"/>
        <v>16.72</v>
      </c>
      <c r="P25" s="217">
        <f t="shared" si="7"/>
        <v>10.91</v>
      </c>
      <c r="Q25" s="217"/>
      <c r="R25" s="217">
        <v>0.39</v>
      </c>
      <c r="S25" s="217">
        <v>1.97</v>
      </c>
      <c r="T25" s="217"/>
      <c r="U25" s="217">
        <v>1.98</v>
      </c>
      <c r="V25" s="217">
        <v>3.4</v>
      </c>
      <c r="W25" s="217">
        <v>14.75</v>
      </c>
      <c r="X25" s="217">
        <v>10.91</v>
      </c>
      <c r="Y25" s="217"/>
      <c r="Z25" s="217"/>
      <c r="AA25" s="217"/>
      <c r="AB25" s="217"/>
      <c r="AC25" s="219">
        <v>4</v>
      </c>
      <c r="AD25" s="219">
        <v>14.42</v>
      </c>
      <c r="AE25" s="217">
        <v>22</v>
      </c>
      <c r="AF25" s="217">
        <v>4</v>
      </c>
      <c r="AG25" s="217">
        <v>20</v>
      </c>
      <c r="AH25" s="217"/>
      <c r="AI25" s="219">
        <v>102</v>
      </c>
      <c r="AJ25" s="219">
        <f t="shared" si="8"/>
        <v>149</v>
      </c>
      <c r="AK25" s="217">
        <v>14</v>
      </c>
      <c r="AL25" s="217">
        <v>92</v>
      </c>
      <c r="AM25" s="217">
        <v>27</v>
      </c>
      <c r="AN25" s="217">
        <v>12</v>
      </c>
      <c r="AO25" s="217">
        <v>4</v>
      </c>
    </row>
    <row r="26" spans="1:41" ht="12.75">
      <c r="A26" s="220" t="s">
        <v>155</v>
      </c>
      <c r="B26" s="221" t="s">
        <v>156</v>
      </c>
      <c r="C26" s="219">
        <f t="shared" si="0"/>
        <v>427</v>
      </c>
      <c r="D26" s="217"/>
      <c r="E26" s="217"/>
      <c r="F26" s="217">
        <v>427</v>
      </c>
      <c r="G26" s="219">
        <f t="shared" si="1"/>
        <v>15</v>
      </c>
      <c r="H26" s="217"/>
      <c r="I26" s="217"/>
      <c r="J26" s="217">
        <v>15</v>
      </c>
      <c r="K26" s="219">
        <f t="shared" si="2"/>
        <v>55.56</v>
      </c>
      <c r="L26" s="217">
        <f t="shared" si="3"/>
        <v>41.56</v>
      </c>
      <c r="M26" s="217">
        <f t="shared" si="4"/>
        <v>3.82</v>
      </c>
      <c r="N26" s="217">
        <f t="shared" si="5"/>
        <v>5.66</v>
      </c>
      <c r="O26" s="217">
        <f t="shared" si="6"/>
        <v>11.86</v>
      </c>
      <c r="P26" s="217">
        <f t="shared" si="7"/>
        <v>20.22</v>
      </c>
      <c r="Q26" s="217"/>
      <c r="R26" s="217"/>
      <c r="S26" s="217"/>
      <c r="T26" s="217"/>
      <c r="U26" s="217"/>
      <c r="V26" s="217"/>
      <c r="W26" s="217"/>
      <c r="X26" s="217"/>
      <c r="Y26" s="217">
        <v>3.82</v>
      </c>
      <c r="Z26" s="217">
        <v>5.66</v>
      </c>
      <c r="AA26" s="217">
        <v>11.86</v>
      </c>
      <c r="AB26" s="217">
        <v>20.22</v>
      </c>
      <c r="AC26" s="219">
        <v>4</v>
      </c>
      <c r="AD26" s="219">
        <v>10</v>
      </c>
      <c r="AE26" s="217">
        <v>9</v>
      </c>
      <c r="AF26" s="217">
        <v>0.92</v>
      </c>
      <c r="AG26" s="217">
        <v>20</v>
      </c>
      <c r="AH26" s="217">
        <v>10</v>
      </c>
      <c r="AI26" s="219"/>
      <c r="AJ26" s="219">
        <f t="shared" si="8"/>
        <v>110.1</v>
      </c>
      <c r="AK26" s="217">
        <v>15</v>
      </c>
      <c r="AL26" s="217">
        <v>83.4</v>
      </c>
      <c r="AM26" s="217">
        <v>11.7</v>
      </c>
      <c r="AN26" s="217"/>
      <c r="AO26" s="217"/>
    </row>
    <row r="27" spans="1:41" ht="12.75">
      <c r="A27" s="220" t="s">
        <v>122</v>
      </c>
      <c r="B27" s="221">
        <v>28</v>
      </c>
      <c r="C27" s="219">
        <f t="shared" si="0"/>
        <v>252</v>
      </c>
      <c r="D27" s="217"/>
      <c r="E27" s="217">
        <v>252</v>
      </c>
      <c r="F27" s="217"/>
      <c r="G27" s="219">
        <f t="shared" si="1"/>
        <v>13</v>
      </c>
      <c r="H27" s="217"/>
      <c r="I27" s="217">
        <v>13</v>
      </c>
      <c r="J27" s="217"/>
      <c r="K27" s="219">
        <f t="shared" si="2"/>
        <v>58.97</v>
      </c>
      <c r="L27" s="217">
        <f t="shared" si="3"/>
        <v>40.97</v>
      </c>
      <c r="M27" s="217">
        <f t="shared" si="4"/>
        <v>3.03</v>
      </c>
      <c r="N27" s="217">
        <f t="shared" si="5"/>
        <v>11.16</v>
      </c>
      <c r="O27" s="217">
        <f t="shared" si="6"/>
        <v>12.79</v>
      </c>
      <c r="P27" s="217">
        <f t="shared" si="7"/>
        <v>13.99</v>
      </c>
      <c r="Q27" s="217"/>
      <c r="R27" s="217"/>
      <c r="S27" s="217"/>
      <c r="T27" s="217"/>
      <c r="U27" s="217">
        <v>3.03</v>
      </c>
      <c r="V27" s="217">
        <v>11.16</v>
      </c>
      <c r="W27" s="217">
        <v>12.79</v>
      </c>
      <c r="X27" s="217">
        <v>13.99</v>
      </c>
      <c r="Y27" s="217"/>
      <c r="Z27" s="217"/>
      <c r="AA27" s="217"/>
      <c r="AB27" s="217"/>
      <c r="AC27" s="219">
        <v>4</v>
      </c>
      <c r="AD27" s="219">
        <v>14</v>
      </c>
      <c r="AE27" s="217">
        <v>27.3</v>
      </c>
      <c r="AF27" s="217">
        <v>4.3</v>
      </c>
      <c r="AG27" s="217">
        <v>20</v>
      </c>
      <c r="AH27" s="217"/>
      <c r="AI27" s="219">
        <v>83</v>
      </c>
      <c r="AJ27" s="219">
        <f t="shared" si="8"/>
        <v>157</v>
      </c>
      <c r="AK27" s="217">
        <v>15</v>
      </c>
      <c r="AL27" s="217">
        <v>123</v>
      </c>
      <c r="AM27" s="217">
        <v>7</v>
      </c>
      <c r="AN27" s="217"/>
      <c r="AO27" s="217">
        <v>12</v>
      </c>
    </row>
    <row r="28" spans="1:41" ht="12.75">
      <c r="A28" s="220" t="s">
        <v>123</v>
      </c>
      <c r="B28" s="221">
        <v>29</v>
      </c>
      <c r="C28" s="219">
        <f t="shared" si="0"/>
        <v>434.32</v>
      </c>
      <c r="D28" s="217">
        <v>50.66</v>
      </c>
      <c r="E28" s="217">
        <v>383.66</v>
      </c>
      <c r="F28" s="217"/>
      <c r="G28" s="219">
        <f t="shared" si="1"/>
        <v>19</v>
      </c>
      <c r="H28" s="217">
        <v>2</v>
      </c>
      <c r="I28" s="217">
        <v>17</v>
      </c>
      <c r="J28" s="217"/>
      <c r="K28" s="219">
        <f t="shared" si="2"/>
        <v>56.66</v>
      </c>
      <c r="L28" s="217">
        <f t="shared" si="3"/>
        <v>38.41</v>
      </c>
      <c r="M28" s="217">
        <f t="shared" si="4"/>
        <v>3.94</v>
      </c>
      <c r="N28" s="217">
        <f t="shared" si="5"/>
        <v>3.57</v>
      </c>
      <c r="O28" s="217">
        <f t="shared" si="6"/>
        <v>14.49</v>
      </c>
      <c r="P28" s="217">
        <f t="shared" si="7"/>
        <v>16.41</v>
      </c>
      <c r="Q28" s="217"/>
      <c r="R28" s="217"/>
      <c r="S28" s="217">
        <v>2.37</v>
      </c>
      <c r="T28" s="217"/>
      <c r="U28" s="217">
        <v>3.94</v>
      </c>
      <c r="V28" s="217">
        <v>3.57</v>
      </c>
      <c r="W28" s="217">
        <v>12.12</v>
      </c>
      <c r="X28" s="217">
        <v>16.41</v>
      </c>
      <c r="Y28" s="217"/>
      <c r="Z28" s="217"/>
      <c r="AA28" s="217"/>
      <c r="AB28" s="217"/>
      <c r="AC28" s="219">
        <v>4</v>
      </c>
      <c r="AD28" s="219">
        <v>14.25</v>
      </c>
      <c r="AE28" s="217">
        <v>13</v>
      </c>
      <c r="AF28" s="217">
        <v>2</v>
      </c>
      <c r="AG28" s="217">
        <v>20</v>
      </c>
      <c r="AH28" s="217"/>
      <c r="AI28" s="219">
        <v>89</v>
      </c>
      <c r="AJ28" s="219">
        <f t="shared" si="8"/>
        <v>171</v>
      </c>
      <c r="AK28" s="217">
        <v>16</v>
      </c>
      <c r="AL28" s="217">
        <v>85</v>
      </c>
      <c r="AM28" s="217">
        <v>46</v>
      </c>
      <c r="AN28" s="217">
        <v>13</v>
      </c>
      <c r="AO28" s="217">
        <v>11</v>
      </c>
    </row>
    <row r="29" spans="1:41" ht="12.75">
      <c r="A29" s="220" t="s">
        <v>124</v>
      </c>
      <c r="B29" s="221">
        <v>31</v>
      </c>
      <c r="C29" s="219">
        <f t="shared" si="0"/>
        <v>1223</v>
      </c>
      <c r="D29" s="217">
        <v>75</v>
      </c>
      <c r="E29" s="217">
        <v>723</v>
      </c>
      <c r="F29" s="217">
        <v>425</v>
      </c>
      <c r="G29" s="219">
        <f t="shared" si="1"/>
        <v>49</v>
      </c>
      <c r="H29" s="217">
        <v>3</v>
      </c>
      <c r="I29" s="217">
        <v>30</v>
      </c>
      <c r="J29" s="217">
        <v>16</v>
      </c>
      <c r="K29" s="219">
        <f t="shared" si="2"/>
        <v>141</v>
      </c>
      <c r="L29" s="217">
        <f t="shared" si="3"/>
        <v>103.33</v>
      </c>
      <c r="M29" s="217">
        <f t="shared" si="4"/>
        <v>2.72</v>
      </c>
      <c r="N29" s="217">
        <f t="shared" si="5"/>
        <v>11.04</v>
      </c>
      <c r="O29" s="217">
        <f t="shared" si="6"/>
        <v>45.82</v>
      </c>
      <c r="P29" s="217">
        <f t="shared" si="7"/>
        <v>43.75</v>
      </c>
      <c r="Q29" s="217">
        <v>0.12</v>
      </c>
      <c r="R29" s="217">
        <v>1.76</v>
      </c>
      <c r="S29" s="217">
        <v>2.26</v>
      </c>
      <c r="T29" s="217"/>
      <c r="U29" s="217">
        <v>1.75</v>
      </c>
      <c r="V29" s="217">
        <v>6.24</v>
      </c>
      <c r="W29" s="217">
        <v>30.07</v>
      </c>
      <c r="X29" s="217">
        <v>21.76</v>
      </c>
      <c r="Y29" s="217">
        <v>0.85</v>
      </c>
      <c r="Z29" s="217">
        <v>3.04</v>
      </c>
      <c r="AA29" s="217">
        <v>13.49</v>
      </c>
      <c r="AB29" s="217">
        <v>21.99</v>
      </c>
      <c r="AC29" s="219">
        <v>7</v>
      </c>
      <c r="AD29" s="219">
        <v>30.67</v>
      </c>
      <c r="AE29" s="217">
        <v>10</v>
      </c>
      <c r="AF29" s="217">
        <v>20</v>
      </c>
      <c r="AG29" s="217"/>
      <c r="AH29" s="217">
        <v>20</v>
      </c>
      <c r="AI29" s="219">
        <v>137</v>
      </c>
      <c r="AJ29" s="219">
        <f t="shared" si="8"/>
        <v>366</v>
      </c>
      <c r="AK29" s="217">
        <v>49</v>
      </c>
      <c r="AL29" s="217">
        <v>223</v>
      </c>
      <c r="AM29" s="217">
        <v>39</v>
      </c>
      <c r="AN29" s="217">
        <v>34</v>
      </c>
      <c r="AO29" s="217">
        <v>21</v>
      </c>
    </row>
    <row r="30" spans="1:41" ht="12.75">
      <c r="A30" s="220" t="s">
        <v>125</v>
      </c>
      <c r="B30" s="221">
        <v>33</v>
      </c>
      <c r="C30" s="219">
        <f t="shared" si="0"/>
        <v>625</v>
      </c>
      <c r="D30" s="217"/>
      <c r="E30" s="217">
        <v>625</v>
      </c>
      <c r="F30" s="217"/>
      <c r="G30" s="219">
        <f t="shared" si="1"/>
        <v>27</v>
      </c>
      <c r="H30" s="217"/>
      <c r="I30" s="217">
        <v>27</v>
      </c>
      <c r="J30" s="217"/>
      <c r="K30" s="219">
        <f t="shared" si="2"/>
        <v>73.52</v>
      </c>
      <c r="L30" s="217">
        <f t="shared" si="3"/>
        <v>54.77</v>
      </c>
      <c r="M30" s="217">
        <f t="shared" si="4"/>
        <v>2.35</v>
      </c>
      <c r="N30" s="217">
        <f t="shared" si="5"/>
        <v>11.06</v>
      </c>
      <c r="O30" s="217">
        <f t="shared" si="6"/>
        <v>15.48</v>
      </c>
      <c r="P30" s="217">
        <f t="shared" si="7"/>
        <v>25.88</v>
      </c>
      <c r="Q30" s="217"/>
      <c r="R30" s="217"/>
      <c r="S30" s="217"/>
      <c r="T30" s="217"/>
      <c r="U30" s="217">
        <v>2.35</v>
      </c>
      <c r="V30" s="217">
        <v>11.06</v>
      </c>
      <c r="W30" s="217">
        <v>15.48</v>
      </c>
      <c r="X30" s="217">
        <v>25.88</v>
      </c>
      <c r="Y30" s="217"/>
      <c r="Z30" s="217"/>
      <c r="AA30" s="217"/>
      <c r="AB30" s="217"/>
      <c r="AC30" s="219">
        <v>5</v>
      </c>
      <c r="AD30" s="219">
        <v>13.75</v>
      </c>
      <c r="AE30" s="217">
        <v>40.66</v>
      </c>
      <c r="AF30" s="217">
        <v>5</v>
      </c>
      <c r="AG30" s="217">
        <v>20</v>
      </c>
      <c r="AH30" s="217">
        <v>6</v>
      </c>
      <c r="AI30" s="219">
        <v>141</v>
      </c>
      <c r="AJ30" s="219">
        <f t="shared" si="8"/>
        <v>264</v>
      </c>
      <c r="AK30" s="217">
        <v>27</v>
      </c>
      <c r="AL30" s="217">
        <v>158</v>
      </c>
      <c r="AM30" s="217">
        <v>71</v>
      </c>
      <c r="AN30" s="217">
        <v>8</v>
      </c>
      <c r="AO30" s="217"/>
    </row>
    <row r="31" spans="1:41" ht="12.75">
      <c r="A31" s="220" t="s">
        <v>126</v>
      </c>
      <c r="B31" s="221">
        <v>34</v>
      </c>
      <c r="C31" s="219">
        <f t="shared" si="0"/>
        <v>284.67</v>
      </c>
      <c r="D31" s="217">
        <v>36.67</v>
      </c>
      <c r="E31" s="217">
        <v>248</v>
      </c>
      <c r="F31" s="217"/>
      <c r="G31" s="219">
        <f t="shared" si="1"/>
        <v>15.67</v>
      </c>
      <c r="H31" s="217">
        <v>2</v>
      </c>
      <c r="I31" s="217">
        <v>13.67</v>
      </c>
      <c r="J31" s="217"/>
      <c r="K31" s="219">
        <f t="shared" si="2"/>
        <v>60.01</v>
      </c>
      <c r="L31" s="217">
        <f t="shared" si="3"/>
        <v>44.01</v>
      </c>
      <c r="M31" s="217">
        <f t="shared" si="4"/>
        <v>1.72</v>
      </c>
      <c r="N31" s="217">
        <f t="shared" si="5"/>
        <v>2.55</v>
      </c>
      <c r="O31" s="217">
        <f t="shared" si="6"/>
        <v>28.94</v>
      </c>
      <c r="P31" s="217">
        <f t="shared" si="7"/>
        <v>10.8</v>
      </c>
      <c r="Q31" s="217">
        <v>0.09</v>
      </c>
      <c r="R31" s="217">
        <v>1.18</v>
      </c>
      <c r="S31" s="217">
        <v>2.18</v>
      </c>
      <c r="T31" s="217">
        <v>0.09</v>
      </c>
      <c r="U31" s="217">
        <v>1.63</v>
      </c>
      <c r="V31" s="217">
        <v>1.37</v>
      </c>
      <c r="W31" s="217">
        <v>26.76</v>
      </c>
      <c r="X31" s="217">
        <v>10.71</v>
      </c>
      <c r="Y31" s="217"/>
      <c r="Z31" s="217"/>
      <c r="AA31" s="217"/>
      <c r="AB31" s="217"/>
      <c r="AC31" s="219">
        <v>4</v>
      </c>
      <c r="AD31" s="219">
        <v>12</v>
      </c>
      <c r="AE31" s="217">
        <v>2</v>
      </c>
      <c r="AF31" s="217">
        <v>1.33</v>
      </c>
      <c r="AG31" s="217">
        <v>10</v>
      </c>
      <c r="AH31" s="217">
        <v>10</v>
      </c>
      <c r="AI31" s="219">
        <v>80.67</v>
      </c>
      <c r="AJ31" s="219">
        <f t="shared" si="8"/>
        <v>140.9</v>
      </c>
      <c r="AK31" s="217">
        <v>13.94</v>
      </c>
      <c r="AL31" s="217">
        <v>92.14</v>
      </c>
      <c r="AM31" s="217">
        <v>24.41</v>
      </c>
      <c r="AN31" s="217">
        <v>5.05</v>
      </c>
      <c r="AO31" s="217">
        <v>5.36</v>
      </c>
    </row>
    <row r="32" spans="1:41" ht="12.75">
      <c r="A32" s="220" t="s">
        <v>127</v>
      </c>
      <c r="B32" s="221">
        <v>35</v>
      </c>
      <c r="C32" s="219">
        <f t="shared" si="0"/>
        <v>390.66</v>
      </c>
      <c r="D32" s="217">
        <v>51.33</v>
      </c>
      <c r="E32" s="217">
        <v>339.33</v>
      </c>
      <c r="F32" s="217"/>
      <c r="G32" s="219">
        <f t="shared" si="1"/>
        <v>18</v>
      </c>
      <c r="H32" s="217">
        <v>2</v>
      </c>
      <c r="I32" s="217">
        <v>16</v>
      </c>
      <c r="J32" s="217"/>
      <c r="K32" s="219">
        <f t="shared" si="2"/>
        <v>59.32</v>
      </c>
      <c r="L32" s="217">
        <f t="shared" si="3"/>
        <v>42.45</v>
      </c>
      <c r="M32" s="217">
        <f t="shared" si="4"/>
        <v>1.29</v>
      </c>
      <c r="N32" s="217">
        <f t="shared" si="5"/>
        <v>11.4</v>
      </c>
      <c r="O32" s="217">
        <f t="shared" si="6"/>
        <v>22.02</v>
      </c>
      <c r="P32" s="217">
        <f t="shared" si="7"/>
        <v>7.74</v>
      </c>
      <c r="Q32" s="217"/>
      <c r="R32" s="217">
        <v>1</v>
      </c>
      <c r="S32" s="217">
        <v>2.09</v>
      </c>
      <c r="T32" s="217"/>
      <c r="U32" s="217">
        <v>1.29</v>
      </c>
      <c r="V32" s="217">
        <v>10.4</v>
      </c>
      <c r="W32" s="217">
        <v>19.93</v>
      </c>
      <c r="X32" s="217">
        <v>7.74</v>
      </c>
      <c r="Y32" s="217"/>
      <c r="Z32" s="217"/>
      <c r="AA32" s="217"/>
      <c r="AB32" s="217"/>
      <c r="AC32" s="219">
        <v>4.96</v>
      </c>
      <c r="AD32" s="219">
        <v>11.91</v>
      </c>
      <c r="AE32" s="217">
        <v>49</v>
      </c>
      <c r="AF32" s="217">
        <v>22</v>
      </c>
      <c r="AG32" s="217">
        <v>20</v>
      </c>
      <c r="AH32" s="217"/>
      <c r="AI32" s="219">
        <v>108</v>
      </c>
      <c r="AJ32" s="219">
        <f t="shared" si="8"/>
        <v>186</v>
      </c>
      <c r="AK32" s="217">
        <v>15</v>
      </c>
      <c r="AL32" s="217">
        <v>101</v>
      </c>
      <c r="AM32" s="217">
        <v>43</v>
      </c>
      <c r="AN32" s="217">
        <v>24</v>
      </c>
      <c r="AO32" s="217">
        <v>3</v>
      </c>
    </row>
    <row r="33" spans="1:41" ht="12.75">
      <c r="A33" s="220" t="s">
        <v>176</v>
      </c>
      <c r="B33" s="221" t="s">
        <v>159</v>
      </c>
      <c r="C33" s="219">
        <f t="shared" si="0"/>
        <v>481.42</v>
      </c>
      <c r="D33" s="217"/>
      <c r="E33" s="217"/>
      <c r="F33" s="217">
        <v>481.42</v>
      </c>
      <c r="G33" s="219">
        <f t="shared" si="1"/>
        <v>17.67</v>
      </c>
      <c r="H33" s="217"/>
      <c r="I33" s="217"/>
      <c r="J33" s="217">
        <v>17.67</v>
      </c>
      <c r="K33" s="219">
        <f t="shared" si="2"/>
        <v>52.25</v>
      </c>
      <c r="L33" s="217">
        <f t="shared" si="3"/>
        <v>43</v>
      </c>
      <c r="M33" s="217">
        <f t="shared" si="4"/>
        <v>3.59</v>
      </c>
      <c r="N33" s="217">
        <f t="shared" si="5"/>
        <v>10.65</v>
      </c>
      <c r="O33" s="217">
        <f t="shared" si="6"/>
        <v>21.51</v>
      </c>
      <c r="P33" s="217">
        <f t="shared" si="7"/>
        <v>7.25</v>
      </c>
      <c r="Q33" s="217"/>
      <c r="R33" s="217"/>
      <c r="S33" s="217"/>
      <c r="T33" s="217"/>
      <c r="U33" s="217"/>
      <c r="V33" s="217"/>
      <c r="W33" s="217"/>
      <c r="X33" s="217"/>
      <c r="Y33" s="217">
        <v>3.59</v>
      </c>
      <c r="Z33" s="217">
        <v>10.65</v>
      </c>
      <c r="AA33" s="217">
        <v>21.51</v>
      </c>
      <c r="AB33" s="217">
        <v>7.25</v>
      </c>
      <c r="AC33" s="219">
        <v>1.5</v>
      </c>
      <c r="AD33" s="219">
        <v>7.75</v>
      </c>
      <c r="AE33" s="223">
        <v>11.67</v>
      </c>
      <c r="AF33" s="223">
        <v>1.17</v>
      </c>
      <c r="AG33" s="223">
        <v>20</v>
      </c>
      <c r="AH33" s="223"/>
      <c r="AI33" s="219"/>
      <c r="AJ33" s="219">
        <f t="shared" si="8"/>
        <v>151.1</v>
      </c>
      <c r="AK33" s="217">
        <v>13.4</v>
      </c>
      <c r="AL33" s="217">
        <v>93.5</v>
      </c>
      <c r="AM33" s="217">
        <v>21.6</v>
      </c>
      <c r="AN33" s="217">
        <v>4.3</v>
      </c>
      <c r="AO33" s="217">
        <v>18.3</v>
      </c>
    </row>
    <row r="34" spans="1:41" ht="12.75">
      <c r="A34" s="220" t="s">
        <v>128</v>
      </c>
      <c r="B34" s="221">
        <v>37</v>
      </c>
      <c r="C34" s="219">
        <f t="shared" si="0"/>
        <v>126</v>
      </c>
      <c r="D34" s="217">
        <v>15</v>
      </c>
      <c r="E34" s="217">
        <v>111</v>
      </c>
      <c r="F34" s="217"/>
      <c r="G34" s="219">
        <f t="shared" si="1"/>
        <v>7</v>
      </c>
      <c r="H34" s="217">
        <v>1</v>
      </c>
      <c r="I34" s="217">
        <v>6</v>
      </c>
      <c r="J34" s="217"/>
      <c r="K34" s="219">
        <f t="shared" si="2"/>
        <v>22.12</v>
      </c>
      <c r="L34" s="217">
        <f t="shared" si="3"/>
        <v>14.71</v>
      </c>
      <c r="M34" s="217">
        <f t="shared" si="4"/>
        <v>0.18</v>
      </c>
      <c r="N34" s="217">
        <f t="shared" si="5"/>
        <v>6.14</v>
      </c>
      <c r="O34" s="217">
        <f t="shared" si="6"/>
        <v>4.19</v>
      </c>
      <c r="P34" s="217">
        <f t="shared" si="7"/>
        <v>4.2</v>
      </c>
      <c r="Q34" s="217"/>
      <c r="R34" s="217"/>
      <c r="S34" s="217">
        <v>1.11</v>
      </c>
      <c r="T34" s="217"/>
      <c r="U34" s="217">
        <v>0.18</v>
      </c>
      <c r="V34" s="217">
        <v>6.14</v>
      </c>
      <c r="W34" s="217">
        <v>3.08</v>
      </c>
      <c r="X34" s="217">
        <v>4.2</v>
      </c>
      <c r="Y34" s="217"/>
      <c r="Z34" s="217"/>
      <c r="AA34" s="217"/>
      <c r="AB34" s="217"/>
      <c r="AC34" s="219">
        <v>3.33</v>
      </c>
      <c r="AD34" s="219">
        <v>4.08</v>
      </c>
      <c r="AE34" s="223">
        <v>12</v>
      </c>
      <c r="AF34" s="223">
        <v>2</v>
      </c>
      <c r="AG34" s="223">
        <v>10</v>
      </c>
      <c r="AH34" s="223"/>
      <c r="AI34" s="219"/>
      <c r="AJ34" s="219">
        <f t="shared" si="8"/>
        <v>32</v>
      </c>
      <c r="AK34" s="217">
        <v>7</v>
      </c>
      <c r="AL34" s="217"/>
      <c r="AM34" s="217">
        <v>21</v>
      </c>
      <c r="AN34" s="217">
        <v>4</v>
      </c>
      <c r="AO34" s="217"/>
    </row>
    <row r="35" spans="1:41" ht="12.75">
      <c r="A35" s="220" t="s">
        <v>129</v>
      </c>
      <c r="B35" s="221">
        <v>39</v>
      </c>
      <c r="C35" s="219">
        <f t="shared" si="0"/>
        <v>669</v>
      </c>
      <c r="D35" s="217"/>
      <c r="E35" s="217">
        <v>669</v>
      </c>
      <c r="F35" s="217"/>
      <c r="G35" s="219">
        <f t="shared" si="1"/>
        <v>28.33</v>
      </c>
      <c r="H35" s="217"/>
      <c r="I35" s="217">
        <v>28.33</v>
      </c>
      <c r="J35" s="217"/>
      <c r="K35" s="219">
        <f t="shared" si="2"/>
        <v>82.93</v>
      </c>
      <c r="L35" s="217">
        <f t="shared" si="3"/>
        <v>59</v>
      </c>
      <c r="M35" s="217">
        <f t="shared" si="4"/>
        <v>3.64</v>
      </c>
      <c r="N35" s="217">
        <f t="shared" si="5"/>
        <v>8.83</v>
      </c>
      <c r="O35" s="217">
        <f t="shared" si="6"/>
        <v>21.82</v>
      </c>
      <c r="P35" s="217">
        <f t="shared" si="7"/>
        <v>24.71</v>
      </c>
      <c r="Q35" s="217"/>
      <c r="R35" s="217"/>
      <c r="S35" s="217"/>
      <c r="T35" s="217"/>
      <c r="U35" s="217">
        <v>3.64</v>
      </c>
      <c r="V35" s="217">
        <v>8.83</v>
      </c>
      <c r="W35" s="217">
        <v>21.82</v>
      </c>
      <c r="X35" s="217">
        <v>24.71</v>
      </c>
      <c r="Y35" s="217"/>
      <c r="Z35" s="217"/>
      <c r="AA35" s="217"/>
      <c r="AB35" s="217"/>
      <c r="AC35" s="219">
        <v>5.5</v>
      </c>
      <c r="AD35" s="219">
        <v>18.43</v>
      </c>
      <c r="AE35" s="223">
        <v>20</v>
      </c>
      <c r="AF35" s="223">
        <v>2.66</v>
      </c>
      <c r="AG35" s="223"/>
      <c r="AH35" s="223">
        <v>20</v>
      </c>
      <c r="AI35" s="219">
        <v>163</v>
      </c>
      <c r="AJ35" s="219">
        <f t="shared" si="8"/>
        <v>216</v>
      </c>
      <c r="AK35" s="217">
        <v>28</v>
      </c>
      <c r="AL35" s="217">
        <v>161</v>
      </c>
      <c r="AM35" s="217">
        <v>21</v>
      </c>
      <c r="AN35" s="217">
        <v>4</v>
      </c>
      <c r="AO35" s="217">
        <v>2</v>
      </c>
    </row>
    <row r="36" spans="1:41" ht="12.75">
      <c r="A36" s="220" t="s">
        <v>130</v>
      </c>
      <c r="B36" s="221">
        <v>40</v>
      </c>
      <c r="C36" s="219">
        <f t="shared" si="0"/>
        <v>859.33</v>
      </c>
      <c r="D36" s="217">
        <v>89</v>
      </c>
      <c r="E36" s="217">
        <v>770.33</v>
      </c>
      <c r="F36" s="217"/>
      <c r="G36" s="219">
        <f t="shared" si="1"/>
        <v>35.67</v>
      </c>
      <c r="H36" s="217">
        <v>3.67</v>
      </c>
      <c r="I36" s="217">
        <v>32</v>
      </c>
      <c r="J36" s="217"/>
      <c r="K36" s="219">
        <f t="shared" si="2"/>
        <v>92.3</v>
      </c>
      <c r="L36" s="217">
        <f t="shared" si="3"/>
        <v>65.96</v>
      </c>
      <c r="M36" s="217">
        <f t="shared" si="4"/>
        <v>3.36</v>
      </c>
      <c r="N36" s="217">
        <f t="shared" si="5"/>
        <v>10.71</v>
      </c>
      <c r="O36" s="217">
        <f t="shared" si="6"/>
        <v>25.18</v>
      </c>
      <c r="P36" s="217">
        <f t="shared" si="7"/>
        <v>26.71</v>
      </c>
      <c r="Q36" s="217"/>
      <c r="R36" s="217"/>
      <c r="S36" s="217">
        <v>2.23</v>
      </c>
      <c r="T36" s="217">
        <v>2.28</v>
      </c>
      <c r="U36" s="217">
        <v>3.36</v>
      </c>
      <c r="V36" s="217">
        <v>10.71</v>
      </c>
      <c r="W36" s="217">
        <v>22.95</v>
      </c>
      <c r="X36" s="217">
        <v>24.43</v>
      </c>
      <c r="Y36" s="217"/>
      <c r="Z36" s="217"/>
      <c r="AA36" s="217"/>
      <c r="AB36" s="217"/>
      <c r="AC36" s="219">
        <v>6</v>
      </c>
      <c r="AD36" s="219">
        <v>20.34</v>
      </c>
      <c r="AE36" s="223">
        <v>19.31</v>
      </c>
      <c r="AF36" s="223">
        <v>4</v>
      </c>
      <c r="AG36" s="223">
        <v>16.67</v>
      </c>
      <c r="AH36" s="223">
        <v>3.33</v>
      </c>
      <c r="AI36" s="219">
        <v>150</v>
      </c>
      <c r="AJ36" s="219">
        <f t="shared" si="8"/>
        <v>266</v>
      </c>
      <c r="AK36" s="217">
        <v>35</v>
      </c>
      <c r="AL36" s="217">
        <v>177</v>
      </c>
      <c r="AM36" s="217">
        <v>29</v>
      </c>
      <c r="AN36" s="217">
        <v>19</v>
      </c>
      <c r="AO36" s="217">
        <v>6</v>
      </c>
    </row>
    <row r="37" spans="1:41" ht="12.75">
      <c r="A37" s="220" t="s">
        <v>223</v>
      </c>
      <c r="B37" s="221" t="s">
        <v>161</v>
      </c>
      <c r="C37" s="219">
        <f t="shared" si="0"/>
        <v>422</v>
      </c>
      <c r="D37" s="217"/>
      <c r="E37" s="217"/>
      <c r="F37" s="217">
        <v>422</v>
      </c>
      <c r="G37" s="219">
        <f t="shared" si="1"/>
        <v>12.8</v>
      </c>
      <c r="H37" s="217"/>
      <c r="I37" s="217"/>
      <c r="J37" s="217">
        <v>12.8</v>
      </c>
      <c r="K37" s="219">
        <f t="shared" si="2"/>
        <v>52.5</v>
      </c>
      <c r="L37" s="217">
        <f t="shared" si="3"/>
        <v>38</v>
      </c>
      <c r="M37" s="217">
        <f t="shared" si="4"/>
        <v>4.1</v>
      </c>
      <c r="N37" s="217">
        <f t="shared" si="5"/>
        <v>10</v>
      </c>
      <c r="O37" s="217">
        <f t="shared" si="6"/>
        <v>15.7</v>
      </c>
      <c r="P37" s="217">
        <f t="shared" si="7"/>
        <v>8.2</v>
      </c>
      <c r="Q37" s="217"/>
      <c r="R37" s="217"/>
      <c r="S37" s="217"/>
      <c r="T37" s="217"/>
      <c r="U37" s="217"/>
      <c r="V37" s="217"/>
      <c r="W37" s="217"/>
      <c r="X37" s="217"/>
      <c r="Y37" s="217">
        <v>4.1</v>
      </c>
      <c r="Z37" s="217">
        <v>10</v>
      </c>
      <c r="AA37" s="217">
        <v>15.7</v>
      </c>
      <c r="AB37" s="217">
        <v>8.2</v>
      </c>
      <c r="AC37" s="219">
        <v>3.4</v>
      </c>
      <c r="AD37" s="219">
        <v>11.1</v>
      </c>
      <c r="AE37" s="223">
        <v>76</v>
      </c>
      <c r="AF37" s="223">
        <v>7.6</v>
      </c>
      <c r="AG37" s="223"/>
      <c r="AH37" s="223">
        <v>20</v>
      </c>
      <c r="AI37" s="219"/>
      <c r="AJ37" s="219">
        <f t="shared" si="8"/>
        <v>107.2</v>
      </c>
      <c r="AK37" s="217">
        <v>12.8</v>
      </c>
      <c r="AL37" s="217">
        <v>39</v>
      </c>
      <c r="AM37" s="217">
        <v>36.4</v>
      </c>
      <c r="AN37" s="217">
        <v>3</v>
      </c>
      <c r="AO37" s="217">
        <v>16</v>
      </c>
    </row>
    <row r="38" spans="1:41" ht="12.75">
      <c r="A38" s="220" t="s">
        <v>131</v>
      </c>
      <c r="B38" s="221">
        <v>42</v>
      </c>
      <c r="C38" s="219">
        <f t="shared" si="0"/>
        <v>769</v>
      </c>
      <c r="D38" s="217">
        <v>37</v>
      </c>
      <c r="E38" s="217">
        <v>370</v>
      </c>
      <c r="F38" s="217">
        <v>362</v>
      </c>
      <c r="G38" s="219">
        <f t="shared" si="1"/>
        <v>34</v>
      </c>
      <c r="H38" s="217">
        <v>2</v>
      </c>
      <c r="I38" s="217">
        <v>17</v>
      </c>
      <c r="J38" s="217">
        <v>15</v>
      </c>
      <c r="K38" s="219">
        <f t="shared" si="2"/>
        <v>104.55</v>
      </c>
      <c r="L38" s="217">
        <f t="shared" si="3"/>
        <v>77.55</v>
      </c>
      <c r="M38" s="217">
        <f t="shared" si="4"/>
        <v>2.96</v>
      </c>
      <c r="N38" s="217">
        <f t="shared" si="5"/>
        <v>14.72</v>
      </c>
      <c r="O38" s="217">
        <f t="shared" si="6"/>
        <v>31.47</v>
      </c>
      <c r="P38" s="217">
        <f t="shared" si="7"/>
        <v>28.4</v>
      </c>
      <c r="Q38" s="217"/>
      <c r="R38" s="217">
        <v>0.79</v>
      </c>
      <c r="S38" s="217">
        <v>1.18</v>
      </c>
      <c r="T38" s="217"/>
      <c r="U38" s="217">
        <v>1.29</v>
      </c>
      <c r="V38" s="217">
        <v>8.39</v>
      </c>
      <c r="W38" s="217">
        <v>15.75</v>
      </c>
      <c r="X38" s="217">
        <v>11.33</v>
      </c>
      <c r="Y38" s="217">
        <v>1.67</v>
      </c>
      <c r="Z38" s="217">
        <v>5.54</v>
      </c>
      <c r="AA38" s="217">
        <v>14.54</v>
      </c>
      <c r="AB38" s="217">
        <v>17.07</v>
      </c>
      <c r="AC38" s="219">
        <v>6</v>
      </c>
      <c r="AD38" s="219">
        <v>21</v>
      </c>
      <c r="AE38" s="223">
        <v>51</v>
      </c>
      <c r="AF38" s="223">
        <v>5</v>
      </c>
      <c r="AG38" s="223">
        <v>40</v>
      </c>
      <c r="AH38" s="223">
        <v>10</v>
      </c>
      <c r="AI38" s="219">
        <v>120</v>
      </c>
      <c r="AJ38" s="219">
        <f t="shared" si="8"/>
        <v>213</v>
      </c>
      <c r="AK38" s="217">
        <v>28</v>
      </c>
      <c r="AL38" s="217">
        <v>143</v>
      </c>
      <c r="AM38" s="217">
        <v>34</v>
      </c>
      <c r="AN38" s="217"/>
      <c r="AO38" s="217">
        <v>8</v>
      </c>
    </row>
    <row r="39" spans="1:41" ht="12.75">
      <c r="A39" s="220" t="s">
        <v>132</v>
      </c>
      <c r="B39" s="221">
        <v>43</v>
      </c>
      <c r="C39" s="219">
        <f t="shared" si="0"/>
        <v>876</v>
      </c>
      <c r="D39" s="217">
        <v>43</v>
      </c>
      <c r="E39" s="217">
        <v>448</v>
      </c>
      <c r="F39" s="217">
        <v>385</v>
      </c>
      <c r="G39" s="219">
        <f t="shared" si="1"/>
        <v>36.66</v>
      </c>
      <c r="H39" s="217">
        <v>1.66</v>
      </c>
      <c r="I39" s="217">
        <v>19.33</v>
      </c>
      <c r="J39" s="217">
        <v>15.67</v>
      </c>
      <c r="K39" s="219">
        <f t="shared" si="2"/>
        <v>117.13</v>
      </c>
      <c r="L39" s="217">
        <f t="shared" si="3"/>
        <v>82.71</v>
      </c>
      <c r="M39" s="217">
        <f t="shared" si="4"/>
        <v>4.48</v>
      </c>
      <c r="N39" s="217">
        <f t="shared" si="5"/>
        <v>4.12</v>
      </c>
      <c r="O39" s="217">
        <f t="shared" si="6"/>
        <v>36.81</v>
      </c>
      <c r="P39" s="217">
        <f t="shared" si="7"/>
        <v>37.3</v>
      </c>
      <c r="Q39" s="217"/>
      <c r="R39" s="217"/>
      <c r="S39" s="217">
        <v>1.88</v>
      </c>
      <c r="T39" s="217"/>
      <c r="U39" s="217">
        <v>1.78</v>
      </c>
      <c r="V39" s="217">
        <v>2.18</v>
      </c>
      <c r="W39" s="217">
        <v>17.23</v>
      </c>
      <c r="X39" s="217">
        <v>17.73</v>
      </c>
      <c r="Y39" s="217">
        <v>2.7</v>
      </c>
      <c r="Z39" s="217">
        <v>1.94</v>
      </c>
      <c r="AA39" s="217">
        <v>17.7</v>
      </c>
      <c r="AB39" s="217">
        <v>19.57</v>
      </c>
      <c r="AC39" s="219">
        <v>6.42</v>
      </c>
      <c r="AD39" s="219">
        <v>28</v>
      </c>
      <c r="AE39" s="223">
        <v>13</v>
      </c>
      <c r="AF39" s="223">
        <v>4.93</v>
      </c>
      <c r="AG39" s="223">
        <v>30</v>
      </c>
      <c r="AH39" s="223">
        <v>20</v>
      </c>
      <c r="AI39" s="219">
        <v>87</v>
      </c>
      <c r="AJ39" s="219">
        <f t="shared" si="8"/>
        <v>164</v>
      </c>
      <c r="AK39" s="217">
        <v>25</v>
      </c>
      <c r="AL39" s="217">
        <v>100</v>
      </c>
      <c r="AM39" s="217">
        <v>35</v>
      </c>
      <c r="AN39" s="217">
        <v>1</v>
      </c>
      <c r="AO39" s="217">
        <v>3</v>
      </c>
    </row>
    <row r="40" spans="1:41" ht="12.75">
      <c r="A40" s="220" t="s">
        <v>133</v>
      </c>
      <c r="B40" s="221">
        <v>44</v>
      </c>
      <c r="C40" s="219">
        <f t="shared" si="0"/>
        <v>652.66</v>
      </c>
      <c r="D40" s="217"/>
      <c r="E40" s="217">
        <v>157.33</v>
      </c>
      <c r="F40" s="217">
        <v>495.33</v>
      </c>
      <c r="G40" s="219">
        <f t="shared" si="1"/>
        <v>26</v>
      </c>
      <c r="H40" s="217"/>
      <c r="I40" s="217">
        <v>8</v>
      </c>
      <c r="J40" s="217">
        <v>18</v>
      </c>
      <c r="K40" s="219">
        <f t="shared" si="2"/>
        <v>81.08</v>
      </c>
      <c r="L40" s="217">
        <f t="shared" si="3"/>
        <v>61.33</v>
      </c>
      <c r="M40" s="217">
        <f t="shared" si="4"/>
        <v>4.85</v>
      </c>
      <c r="N40" s="217">
        <f t="shared" si="5"/>
        <v>5.33</v>
      </c>
      <c r="O40" s="217">
        <f t="shared" si="6"/>
        <v>28.64</v>
      </c>
      <c r="P40" s="217">
        <f t="shared" si="7"/>
        <v>22.51</v>
      </c>
      <c r="Q40" s="217"/>
      <c r="R40" s="217"/>
      <c r="S40" s="217"/>
      <c r="T40" s="217"/>
      <c r="U40" s="217">
        <v>1.29</v>
      </c>
      <c r="V40" s="217">
        <v>1.87</v>
      </c>
      <c r="W40" s="217">
        <v>9.93</v>
      </c>
      <c r="X40" s="217">
        <v>4.61</v>
      </c>
      <c r="Y40" s="217">
        <v>3.56</v>
      </c>
      <c r="Z40" s="217">
        <v>3.46</v>
      </c>
      <c r="AA40" s="217">
        <v>18.71</v>
      </c>
      <c r="AB40" s="217">
        <v>17.9</v>
      </c>
      <c r="AC40" s="219">
        <v>5.25</v>
      </c>
      <c r="AD40" s="219">
        <v>14.5</v>
      </c>
      <c r="AE40" s="223">
        <v>31.67</v>
      </c>
      <c r="AF40" s="223">
        <v>4</v>
      </c>
      <c r="AG40" s="223">
        <v>20</v>
      </c>
      <c r="AH40" s="223">
        <v>20</v>
      </c>
      <c r="AI40" s="219">
        <v>77.33</v>
      </c>
      <c r="AJ40" s="219">
        <f t="shared" si="8"/>
        <v>151.1</v>
      </c>
      <c r="AK40" s="217">
        <v>23.43</v>
      </c>
      <c r="AL40" s="217">
        <v>99</v>
      </c>
      <c r="AM40" s="217">
        <v>24.67</v>
      </c>
      <c r="AN40" s="217"/>
      <c r="AO40" s="217">
        <v>4</v>
      </c>
    </row>
    <row r="41" spans="1:41" ht="12.75">
      <c r="A41" s="220" t="s">
        <v>134</v>
      </c>
      <c r="B41" s="221">
        <v>45</v>
      </c>
      <c r="C41" s="219">
        <f t="shared" si="0"/>
        <v>302.33</v>
      </c>
      <c r="D41" s="217">
        <v>85</v>
      </c>
      <c r="E41" s="217">
        <v>217.33</v>
      </c>
      <c r="F41" s="217"/>
      <c r="G41" s="219">
        <f t="shared" si="1"/>
        <v>12.99</v>
      </c>
      <c r="H41" s="217">
        <v>3.66</v>
      </c>
      <c r="I41" s="217">
        <v>9.33</v>
      </c>
      <c r="J41" s="217"/>
      <c r="K41" s="219">
        <f t="shared" si="2"/>
        <v>41.47</v>
      </c>
      <c r="L41" s="217">
        <f t="shared" si="3"/>
        <v>27.2</v>
      </c>
      <c r="M41" s="217">
        <f t="shared" si="4"/>
        <v>1.33</v>
      </c>
      <c r="N41" s="217">
        <f t="shared" si="5"/>
        <v>2.13</v>
      </c>
      <c r="O41" s="217">
        <f t="shared" si="6"/>
        <v>14.01</v>
      </c>
      <c r="P41" s="217">
        <f t="shared" si="7"/>
        <v>9.73</v>
      </c>
      <c r="Q41" s="217"/>
      <c r="R41" s="217">
        <v>0.76</v>
      </c>
      <c r="S41" s="217">
        <v>1.93</v>
      </c>
      <c r="T41" s="217">
        <v>1.51</v>
      </c>
      <c r="U41" s="217">
        <v>1.33</v>
      </c>
      <c r="V41" s="217">
        <v>1.37</v>
      </c>
      <c r="W41" s="217">
        <v>12.08</v>
      </c>
      <c r="X41" s="217">
        <v>8.22</v>
      </c>
      <c r="Y41" s="217"/>
      <c r="Z41" s="217"/>
      <c r="AA41" s="217"/>
      <c r="AB41" s="217"/>
      <c r="AC41" s="219">
        <v>3.87</v>
      </c>
      <c r="AD41" s="219">
        <v>10.4</v>
      </c>
      <c r="AE41" s="223"/>
      <c r="AF41" s="223"/>
      <c r="AG41" s="223">
        <v>15</v>
      </c>
      <c r="AH41" s="223"/>
      <c r="AI41" s="219">
        <v>230.33</v>
      </c>
      <c r="AJ41" s="219">
        <f t="shared" si="8"/>
        <v>223.99</v>
      </c>
      <c r="AK41" s="217">
        <v>8.66</v>
      </c>
      <c r="AL41" s="217">
        <v>209.33</v>
      </c>
      <c r="AM41" s="217">
        <v>6</v>
      </c>
      <c r="AN41" s="217"/>
      <c r="AO41" s="217"/>
    </row>
    <row r="42" spans="1:41" ht="12.75">
      <c r="A42" s="220" t="s">
        <v>135</v>
      </c>
      <c r="B42" s="221">
        <v>46</v>
      </c>
      <c r="C42" s="219">
        <f t="shared" si="0"/>
        <v>840.1</v>
      </c>
      <c r="D42" s="217">
        <v>35.4</v>
      </c>
      <c r="E42" s="217">
        <v>485</v>
      </c>
      <c r="F42" s="217">
        <v>319.7</v>
      </c>
      <c r="G42" s="219">
        <f t="shared" si="1"/>
        <v>36</v>
      </c>
      <c r="H42" s="217">
        <v>2</v>
      </c>
      <c r="I42" s="217">
        <v>21</v>
      </c>
      <c r="J42" s="217">
        <v>13</v>
      </c>
      <c r="K42" s="219">
        <f t="shared" si="2"/>
        <v>98.97</v>
      </c>
      <c r="L42" s="217">
        <f t="shared" si="3"/>
        <v>75.54</v>
      </c>
      <c r="M42" s="217">
        <f t="shared" si="4"/>
        <v>4.08</v>
      </c>
      <c r="N42" s="217">
        <f t="shared" si="5"/>
        <v>8.91</v>
      </c>
      <c r="O42" s="217">
        <f t="shared" si="6"/>
        <v>36.81</v>
      </c>
      <c r="P42" s="217">
        <f t="shared" si="7"/>
        <v>25.74</v>
      </c>
      <c r="Q42" s="217">
        <v>0.38</v>
      </c>
      <c r="R42" s="217">
        <v>0.04</v>
      </c>
      <c r="S42" s="217">
        <v>1.58</v>
      </c>
      <c r="T42" s="217">
        <v>0.38</v>
      </c>
      <c r="U42" s="217">
        <v>2.74</v>
      </c>
      <c r="V42" s="217">
        <v>6.91</v>
      </c>
      <c r="W42" s="217">
        <v>20.37</v>
      </c>
      <c r="X42" s="217">
        <v>13.24</v>
      </c>
      <c r="Y42" s="217">
        <v>0.96</v>
      </c>
      <c r="Z42" s="217">
        <v>1.96</v>
      </c>
      <c r="AA42" s="217">
        <v>14.86</v>
      </c>
      <c r="AB42" s="217">
        <v>12.12</v>
      </c>
      <c r="AC42" s="219">
        <v>5.75</v>
      </c>
      <c r="AD42" s="219">
        <v>17.68</v>
      </c>
      <c r="AE42" s="223">
        <v>21.7</v>
      </c>
      <c r="AF42" s="223">
        <v>4.33</v>
      </c>
      <c r="AG42" s="223">
        <v>20</v>
      </c>
      <c r="AH42" s="223">
        <v>18.09</v>
      </c>
      <c r="AI42" s="219">
        <v>153.33</v>
      </c>
      <c r="AJ42" s="219">
        <f t="shared" si="8"/>
        <v>334</v>
      </c>
      <c r="AK42" s="217">
        <v>34</v>
      </c>
      <c r="AL42" s="217">
        <v>282</v>
      </c>
      <c r="AM42" s="217">
        <v>10</v>
      </c>
      <c r="AN42" s="217"/>
      <c r="AO42" s="217">
        <v>8</v>
      </c>
    </row>
    <row r="43" spans="1:41" ht="12.75">
      <c r="A43" s="220" t="s">
        <v>136</v>
      </c>
      <c r="B43" s="221">
        <v>47</v>
      </c>
      <c r="C43" s="219">
        <f t="shared" si="0"/>
        <v>1048</v>
      </c>
      <c r="D43" s="217">
        <v>66</v>
      </c>
      <c r="E43" s="217">
        <v>554</v>
      </c>
      <c r="F43" s="217">
        <v>428</v>
      </c>
      <c r="G43" s="219">
        <f t="shared" si="1"/>
        <v>45</v>
      </c>
      <c r="H43" s="217">
        <v>3</v>
      </c>
      <c r="I43" s="217">
        <v>25</v>
      </c>
      <c r="J43" s="217">
        <v>17</v>
      </c>
      <c r="K43" s="219">
        <f t="shared" si="2"/>
        <v>145.51</v>
      </c>
      <c r="L43" s="217">
        <f t="shared" si="3"/>
        <v>108.51</v>
      </c>
      <c r="M43" s="217">
        <f t="shared" si="4"/>
        <v>1.94</v>
      </c>
      <c r="N43" s="217">
        <f t="shared" si="5"/>
        <v>4.46</v>
      </c>
      <c r="O43" s="217">
        <f t="shared" si="6"/>
        <v>42.42</v>
      </c>
      <c r="P43" s="217">
        <f t="shared" si="7"/>
        <v>59.69</v>
      </c>
      <c r="Q43" s="217"/>
      <c r="R43" s="217"/>
      <c r="S43" s="217">
        <v>2.41</v>
      </c>
      <c r="T43" s="217">
        <v>1.17</v>
      </c>
      <c r="U43" s="217">
        <v>1.49</v>
      </c>
      <c r="V43" s="217">
        <v>3.55</v>
      </c>
      <c r="W43" s="217">
        <v>26.29</v>
      </c>
      <c r="X43" s="217">
        <v>32.67</v>
      </c>
      <c r="Y43" s="217">
        <v>0.45</v>
      </c>
      <c r="Z43" s="217">
        <v>0.91</v>
      </c>
      <c r="AA43" s="217">
        <v>13.72</v>
      </c>
      <c r="AB43" s="217">
        <v>25.85</v>
      </c>
      <c r="AC43" s="219">
        <v>7.5</v>
      </c>
      <c r="AD43" s="219">
        <v>29.5</v>
      </c>
      <c r="AE43" s="223">
        <v>66.8</v>
      </c>
      <c r="AF43" s="223">
        <v>17</v>
      </c>
      <c r="AG43" s="223">
        <v>48</v>
      </c>
      <c r="AH43" s="223">
        <v>20</v>
      </c>
      <c r="AI43" s="219">
        <v>188</v>
      </c>
      <c r="AJ43" s="219">
        <f t="shared" si="8"/>
        <v>361</v>
      </c>
      <c r="AK43" s="217">
        <v>40</v>
      </c>
      <c r="AL43" s="217">
        <v>241</v>
      </c>
      <c r="AM43" s="217">
        <v>40</v>
      </c>
      <c r="AN43" s="217">
        <v>25</v>
      </c>
      <c r="AO43" s="217">
        <v>15</v>
      </c>
    </row>
    <row r="44" spans="1:41" ht="12.75">
      <c r="A44" s="220" t="s">
        <v>137</v>
      </c>
      <c r="B44" s="221">
        <v>48</v>
      </c>
      <c r="C44" s="219">
        <f t="shared" si="0"/>
        <v>553</v>
      </c>
      <c r="D44" s="217">
        <v>38.33</v>
      </c>
      <c r="E44" s="217">
        <v>288.67</v>
      </c>
      <c r="F44" s="217">
        <v>226</v>
      </c>
      <c r="G44" s="219">
        <f t="shared" si="1"/>
        <v>23.67</v>
      </c>
      <c r="H44" s="217">
        <v>2</v>
      </c>
      <c r="I44" s="217">
        <v>12.67</v>
      </c>
      <c r="J44" s="217">
        <v>9</v>
      </c>
      <c r="K44" s="219">
        <f t="shared" si="2"/>
        <v>67</v>
      </c>
      <c r="L44" s="217">
        <f t="shared" si="3"/>
        <v>49.25</v>
      </c>
      <c r="M44" s="217">
        <f t="shared" si="4"/>
        <v>2.68</v>
      </c>
      <c r="N44" s="217">
        <f t="shared" si="5"/>
        <v>7</v>
      </c>
      <c r="O44" s="217">
        <f t="shared" si="6"/>
        <v>19.63</v>
      </c>
      <c r="P44" s="217">
        <f t="shared" si="7"/>
        <v>19.94</v>
      </c>
      <c r="Q44" s="217"/>
      <c r="R44" s="217"/>
      <c r="S44" s="217">
        <v>1.97</v>
      </c>
      <c r="T44" s="217">
        <v>0.39</v>
      </c>
      <c r="U44" s="217">
        <v>1.81</v>
      </c>
      <c r="V44" s="217">
        <v>4.54</v>
      </c>
      <c r="W44" s="217">
        <v>11.08</v>
      </c>
      <c r="X44" s="217">
        <v>7.38</v>
      </c>
      <c r="Y44" s="217">
        <v>0.87</v>
      </c>
      <c r="Z44" s="217">
        <v>2.46</v>
      </c>
      <c r="AA44" s="217">
        <v>6.58</v>
      </c>
      <c r="AB44" s="217">
        <v>12.17</v>
      </c>
      <c r="AC44" s="219">
        <v>4</v>
      </c>
      <c r="AD44" s="219">
        <v>13.75</v>
      </c>
      <c r="AE44" s="223">
        <v>4</v>
      </c>
      <c r="AF44" s="223">
        <v>2.67</v>
      </c>
      <c r="AG44" s="223">
        <v>20</v>
      </c>
      <c r="AH44" s="223">
        <v>15</v>
      </c>
      <c r="AI44" s="219">
        <v>97.33</v>
      </c>
      <c r="AJ44" s="219">
        <f t="shared" si="8"/>
        <v>227.33</v>
      </c>
      <c r="AK44" s="217">
        <v>21</v>
      </c>
      <c r="AL44" s="217">
        <v>123.33</v>
      </c>
      <c r="AM44" s="217">
        <v>29</v>
      </c>
      <c r="AN44" s="217">
        <v>37.67</v>
      </c>
      <c r="AO44" s="217">
        <v>16.33</v>
      </c>
    </row>
    <row r="45" spans="1:41" ht="12.75">
      <c r="A45" s="220" t="s">
        <v>168</v>
      </c>
      <c r="B45" s="208" t="s">
        <v>224</v>
      </c>
      <c r="C45" s="219">
        <f t="shared" si="0"/>
        <v>147</v>
      </c>
      <c r="D45" s="217"/>
      <c r="E45" s="217"/>
      <c r="F45" s="217">
        <v>147</v>
      </c>
      <c r="G45" s="219">
        <f t="shared" si="1"/>
        <v>4.33</v>
      </c>
      <c r="H45" s="217"/>
      <c r="I45" s="217"/>
      <c r="J45" s="217">
        <v>4.33</v>
      </c>
      <c r="K45" s="219">
        <f t="shared" si="2"/>
        <v>6.27</v>
      </c>
      <c r="L45" s="217">
        <f t="shared" si="3"/>
        <v>4.77</v>
      </c>
      <c r="M45" s="217">
        <f t="shared" si="4"/>
        <v>0.83</v>
      </c>
      <c r="N45" s="217">
        <f t="shared" si="5"/>
        <v>0.87</v>
      </c>
      <c r="O45" s="217">
        <f t="shared" si="6"/>
        <v>2.07</v>
      </c>
      <c r="P45" s="217">
        <f t="shared" si="7"/>
        <v>1</v>
      </c>
      <c r="Q45" s="217"/>
      <c r="R45" s="217"/>
      <c r="S45" s="217"/>
      <c r="T45" s="217"/>
      <c r="U45" s="217"/>
      <c r="V45" s="217"/>
      <c r="W45" s="217"/>
      <c r="X45" s="217"/>
      <c r="Y45" s="217">
        <v>0.83</v>
      </c>
      <c r="Z45" s="217">
        <v>0.87</v>
      </c>
      <c r="AA45" s="217">
        <v>2.07</v>
      </c>
      <c r="AB45" s="217">
        <v>1</v>
      </c>
      <c r="AC45" s="219">
        <v>0.75</v>
      </c>
      <c r="AD45" s="219">
        <v>0.75</v>
      </c>
      <c r="AE45" s="223"/>
      <c r="AF45" s="223"/>
      <c r="AG45" s="223"/>
      <c r="AH45" s="223"/>
      <c r="AI45" s="219"/>
      <c r="AJ45" s="219">
        <v>0</v>
      </c>
      <c r="AK45" s="217"/>
      <c r="AL45" s="217"/>
      <c r="AM45" s="217"/>
      <c r="AN45" s="217"/>
      <c r="AO45" s="217"/>
    </row>
    <row r="46" spans="1:41" s="99" customFormat="1" ht="12.75">
      <c r="A46" s="224" t="s">
        <v>46</v>
      </c>
      <c r="B46" s="214"/>
      <c r="C46" s="216">
        <f aca="true" t="shared" si="9" ref="C46:AO46">SUM(C6:C45)</f>
        <v>20748.96</v>
      </c>
      <c r="D46" s="216">
        <f t="shared" si="9"/>
        <v>1061.2</v>
      </c>
      <c r="E46" s="216">
        <f t="shared" si="9"/>
        <v>12487.61</v>
      </c>
      <c r="F46" s="216">
        <f t="shared" si="9"/>
        <v>7200.15</v>
      </c>
      <c r="G46" s="216">
        <f t="shared" si="9"/>
        <v>876.15</v>
      </c>
      <c r="H46" s="216">
        <f t="shared" si="9"/>
        <v>48.35</v>
      </c>
      <c r="I46" s="216">
        <f t="shared" si="9"/>
        <v>550.04</v>
      </c>
      <c r="J46" s="216">
        <f t="shared" si="9"/>
        <v>277.76</v>
      </c>
      <c r="K46" s="216">
        <f t="shared" si="9"/>
        <v>2723.61</v>
      </c>
      <c r="L46" s="216">
        <f t="shared" si="9"/>
        <v>1979.18</v>
      </c>
      <c r="M46" s="216">
        <f t="shared" si="9"/>
        <v>111.16</v>
      </c>
      <c r="N46" s="216">
        <f t="shared" si="9"/>
        <v>290.64</v>
      </c>
      <c r="O46" s="216">
        <f t="shared" si="9"/>
        <v>887.6</v>
      </c>
      <c r="P46" s="216">
        <f t="shared" si="9"/>
        <v>689.78</v>
      </c>
      <c r="Q46" s="216">
        <f t="shared" si="9"/>
        <v>2.48</v>
      </c>
      <c r="R46" s="216">
        <f t="shared" si="9"/>
        <v>8.69</v>
      </c>
      <c r="S46" s="216">
        <f t="shared" si="9"/>
        <v>42.01</v>
      </c>
      <c r="T46" s="216">
        <f t="shared" si="9"/>
        <v>7.09</v>
      </c>
      <c r="U46" s="216">
        <f t="shared" si="9"/>
        <v>68.99</v>
      </c>
      <c r="V46" s="216">
        <f t="shared" si="9"/>
        <v>185.63</v>
      </c>
      <c r="W46" s="216">
        <f t="shared" si="9"/>
        <v>546.99</v>
      </c>
      <c r="X46" s="216">
        <f t="shared" si="9"/>
        <v>414.32</v>
      </c>
      <c r="Y46" s="216">
        <f t="shared" si="9"/>
        <v>39.69</v>
      </c>
      <c r="Z46" s="216">
        <f t="shared" si="9"/>
        <v>96.32</v>
      </c>
      <c r="AA46" s="216">
        <f t="shared" si="9"/>
        <v>298.6</v>
      </c>
      <c r="AB46" s="216">
        <f t="shared" si="9"/>
        <v>268.37</v>
      </c>
      <c r="AC46" s="216">
        <f t="shared" si="9"/>
        <v>180.13</v>
      </c>
      <c r="AD46" s="216">
        <f t="shared" si="9"/>
        <v>564.3</v>
      </c>
      <c r="AE46" s="216">
        <f t="shared" si="9"/>
        <v>1029.14</v>
      </c>
      <c r="AF46" s="216">
        <f t="shared" si="9"/>
        <v>200.15</v>
      </c>
      <c r="AG46" s="216">
        <f t="shared" si="9"/>
        <v>717.67</v>
      </c>
      <c r="AH46" s="216">
        <f t="shared" si="9"/>
        <v>322.22</v>
      </c>
      <c r="AI46" s="216">
        <f t="shared" si="9"/>
        <v>3429.91</v>
      </c>
      <c r="AJ46" s="216">
        <f t="shared" si="9"/>
        <v>7307.41</v>
      </c>
      <c r="AK46" s="216">
        <f t="shared" si="9"/>
        <v>800.18</v>
      </c>
      <c r="AL46" s="216">
        <f t="shared" si="9"/>
        <v>4841.78</v>
      </c>
      <c r="AM46" s="216">
        <f t="shared" si="9"/>
        <v>1030.43</v>
      </c>
      <c r="AN46" s="216">
        <f t="shared" si="9"/>
        <v>299.52</v>
      </c>
      <c r="AO46" s="216">
        <f t="shared" si="9"/>
        <v>335.5</v>
      </c>
    </row>
    <row r="47" spans="1:41" s="226" customFormat="1" ht="12.75">
      <c r="A47" s="220" t="s">
        <v>225</v>
      </c>
      <c r="B47" s="225" t="s">
        <v>171</v>
      </c>
      <c r="C47" s="219">
        <f>D47+E47+F47</f>
        <v>136</v>
      </c>
      <c r="D47" s="217"/>
      <c r="E47" s="217"/>
      <c r="F47" s="217">
        <v>136</v>
      </c>
      <c r="G47" s="219">
        <f>H47+I47+J47</f>
        <v>6</v>
      </c>
      <c r="H47" s="217"/>
      <c r="I47" s="217"/>
      <c r="J47" s="217">
        <v>6</v>
      </c>
      <c r="K47" s="219">
        <f>L47+AC47+AD47</f>
        <v>14.86</v>
      </c>
      <c r="L47" s="217">
        <f>M47+N47+O47+P47</f>
        <v>13.11</v>
      </c>
      <c r="M47" s="217">
        <f aca="true" t="shared" si="10" ref="M47:P48">U47+Y47</f>
        <v>0.29</v>
      </c>
      <c r="N47" s="217">
        <f t="shared" si="10"/>
        <v>0.69</v>
      </c>
      <c r="O47" s="217">
        <f t="shared" si="10"/>
        <v>8.38</v>
      </c>
      <c r="P47" s="217">
        <f t="shared" si="10"/>
        <v>3.75</v>
      </c>
      <c r="Q47" s="217"/>
      <c r="R47" s="217"/>
      <c r="S47" s="217"/>
      <c r="T47" s="217"/>
      <c r="U47" s="217"/>
      <c r="V47" s="217"/>
      <c r="W47" s="217"/>
      <c r="X47" s="217"/>
      <c r="Y47" s="217">
        <v>0.29</v>
      </c>
      <c r="Z47" s="217">
        <v>0.69</v>
      </c>
      <c r="AA47" s="217">
        <v>8.38</v>
      </c>
      <c r="AB47" s="217">
        <v>3.75</v>
      </c>
      <c r="AC47" s="223">
        <v>0.25</v>
      </c>
      <c r="AD47" s="223">
        <v>1.5</v>
      </c>
      <c r="AE47" s="217"/>
      <c r="AF47" s="217"/>
      <c r="AG47" s="217">
        <v>5</v>
      </c>
      <c r="AH47" s="217">
        <v>3</v>
      </c>
      <c r="AI47" s="223"/>
      <c r="AJ47" s="219">
        <f>AK47+AN47+AO47</f>
        <v>0</v>
      </c>
      <c r="AK47" s="223"/>
      <c r="AL47" s="223"/>
      <c r="AM47" s="223"/>
      <c r="AN47" s="223"/>
      <c r="AO47" s="223"/>
    </row>
    <row r="48" spans="1:41" s="226" customFormat="1" ht="12.75">
      <c r="A48" s="220" t="s">
        <v>226</v>
      </c>
      <c r="B48" s="225" t="s">
        <v>173</v>
      </c>
      <c r="C48" s="219">
        <f>D48+E48+F48</f>
        <v>238.67</v>
      </c>
      <c r="D48" s="217"/>
      <c r="E48" s="217"/>
      <c r="F48" s="217">
        <v>238.67</v>
      </c>
      <c r="G48" s="219">
        <f>H48+I48+J48</f>
        <v>9</v>
      </c>
      <c r="H48" s="217"/>
      <c r="I48" s="217"/>
      <c r="J48" s="217">
        <v>9</v>
      </c>
      <c r="K48" s="219">
        <f>L48+AC48+AD48</f>
        <v>28.41</v>
      </c>
      <c r="L48" s="217">
        <f>M48+N48+O48+P48</f>
        <v>23.12</v>
      </c>
      <c r="M48" s="217">
        <f t="shared" si="10"/>
        <v>1.05</v>
      </c>
      <c r="N48" s="217">
        <f t="shared" si="10"/>
        <v>3.75</v>
      </c>
      <c r="O48" s="217">
        <f t="shared" si="10"/>
        <v>8.22</v>
      </c>
      <c r="P48" s="217">
        <f t="shared" si="10"/>
        <v>10.1</v>
      </c>
      <c r="Q48" s="217"/>
      <c r="R48" s="217"/>
      <c r="S48" s="217"/>
      <c r="T48" s="217"/>
      <c r="U48" s="217"/>
      <c r="V48" s="217"/>
      <c r="W48" s="217"/>
      <c r="X48" s="217"/>
      <c r="Y48" s="217">
        <v>1.05</v>
      </c>
      <c r="Z48" s="217">
        <v>3.75</v>
      </c>
      <c r="AA48" s="217">
        <v>8.22</v>
      </c>
      <c r="AB48" s="217">
        <v>10.1</v>
      </c>
      <c r="AC48" s="223">
        <v>3.08</v>
      </c>
      <c r="AD48" s="223">
        <v>2.21</v>
      </c>
      <c r="AE48" s="223"/>
      <c r="AF48" s="223"/>
      <c r="AG48" s="223"/>
      <c r="AH48" s="223"/>
      <c r="AI48" s="223"/>
      <c r="AJ48" s="219">
        <f>AK48+AN48+AO48</f>
        <v>0</v>
      </c>
      <c r="AK48" s="223"/>
      <c r="AL48" s="223"/>
      <c r="AM48" s="223"/>
      <c r="AN48" s="223"/>
      <c r="AO48" s="223"/>
    </row>
    <row r="49" spans="1:41" ht="12.75">
      <c r="A49" s="227" t="s">
        <v>227</v>
      </c>
      <c r="B49" s="228"/>
      <c r="C49" s="219">
        <f aca="true" t="shared" si="11" ref="C49:AO49">SUM(C46:C48)</f>
        <v>21123.63</v>
      </c>
      <c r="D49" s="219">
        <f t="shared" si="11"/>
        <v>1061.2</v>
      </c>
      <c r="E49" s="219">
        <f t="shared" si="11"/>
        <v>12487.61</v>
      </c>
      <c r="F49" s="219">
        <f t="shared" si="11"/>
        <v>7574.82</v>
      </c>
      <c r="G49" s="219">
        <f t="shared" si="11"/>
        <v>891.15</v>
      </c>
      <c r="H49" s="219">
        <f t="shared" si="11"/>
        <v>48.35</v>
      </c>
      <c r="I49" s="219">
        <f t="shared" si="11"/>
        <v>550.04</v>
      </c>
      <c r="J49" s="219">
        <f t="shared" si="11"/>
        <v>292.76</v>
      </c>
      <c r="K49" s="219">
        <f t="shared" si="11"/>
        <v>2766.88</v>
      </c>
      <c r="L49" s="219">
        <f t="shared" si="11"/>
        <v>2015.41</v>
      </c>
      <c r="M49" s="219">
        <f t="shared" si="11"/>
        <v>112.5</v>
      </c>
      <c r="N49" s="219">
        <f t="shared" si="11"/>
        <v>295.08</v>
      </c>
      <c r="O49" s="219">
        <f t="shared" si="11"/>
        <v>904.2</v>
      </c>
      <c r="P49" s="219">
        <f t="shared" si="11"/>
        <v>703.63</v>
      </c>
      <c r="Q49" s="219">
        <f t="shared" si="11"/>
        <v>2.48</v>
      </c>
      <c r="R49" s="219">
        <f t="shared" si="11"/>
        <v>8.69</v>
      </c>
      <c r="S49" s="219">
        <f t="shared" si="11"/>
        <v>42.01</v>
      </c>
      <c r="T49" s="219">
        <f t="shared" si="11"/>
        <v>7.09</v>
      </c>
      <c r="U49" s="219">
        <f t="shared" si="11"/>
        <v>68.99</v>
      </c>
      <c r="V49" s="219">
        <f t="shared" si="11"/>
        <v>185.63</v>
      </c>
      <c r="W49" s="219">
        <f t="shared" si="11"/>
        <v>546.99</v>
      </c>
      <c r="X49" s="219">
        <f t="shared" si="11"/>
        <v>414.32</v>
      </c>
      <c r="Y49" s="219">
        <f t="shared" si="11"/>
        <v>41.03</v>
      </c>
      <c r="Z49" s="219">
        <f t="shared" si="11"/>
        <v>100.76</v>
      </c>
      <c r="AA49" s="219">
        <f t="shared" si="11"/>
        <v>315.2</v>
      </c>
      <c r="AB49" s="219">
        <f t="shared" si="11"/>
        <v>282.22</v>
      </c>
      <c r="AC49" s="219">
        <f t="shared" si="11"/>
        <v>183.46</v>
      </c>
      <c r="AD49" s="219">
        <f t="shared" si="11"/>
        <v>568.01</v>
      </c>
      <c r="AE49" s="219">
        <f t="shared" si="11"/>
        <v>1029.14</v>
      </c>
      <c r="AF49" s="219">
        <f t="shared" si="11"/>
        <v>200.15</v>
      </c>
      <c r="AG49" s="219">
        <f t="shared" si="11"/>
        <v>722.67</v>
      </c>
      <c r="AH49" s="219">
        <f t="shared" si="11"/>
        <v>325.22</v>
      </c>
      <c r="AI49" s="219">
        <f t="shared" si="11"/>
        <v>3429.91</v>
      </c>
      <c r="AJ49" s="219">
        <f t="shared" si="11"/>
        <v>7307.41</v>
      </c>
      <c r="AK49" s="216">
        <f t="shared" si="11"/>
        <v>800.18</v>
      </c>
      <c r="AL49" s="216">
        <f t="shared" si="11"/>
        <v>4841.78</v>
      </c>
      <c r="AM49" s="216">
        <f t="shared" si="11"/>
        <v>1030.43</v>
      </c>
      <c r="AN49" s="216">
        <f t="shared" si="11"/>
        <v>299.52</v>
      </c>
      <c r="AO49" s="216">
        <f t="shared" si="11"/>
        <v>335.5</v>
      </c>
    </row>
    <row r="50" spans="1:41" s="226" customFormat="1" ht="12.75">
      <c r="A50" s="229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</row>
    <row r="51" spans="3:12" s="226" customFormat="1" ht="12.75">
      <c r="C51" s="231"/>
      <c r="D51" s="231"/>
      <c r="E51" s="231"/>
      <c r="F51" s="231"/>
      <c r="G51" s="231"/>
      <c r="H51" s="231"/>
      <c r="I51" s="231"/>
      <c r="J51" s="231"/>
      <c r="K51" s="231"/>
      <c r="L51" s="231"/>
    </row>
    <row r="52" spans="3:12" s="226" customFormat="1" ht="12.75">
      <c r="C52" s="231"/>
      <c r="D52" s="231"/>
      <c r="E52" s="231"/>
      <c r="F52" s="231"/>
      <c r="G52" s="231"/>
      <c r="H52" s="231"/>
      <c r="I52" s="231"/>
      <c r="J52" s="231"/>
      <c r="K52" s="231"/>
      <c r="L52" s="231"/>
    </row>
    <row r="53" spans="3:12" s="226" customFormat="1" ht="12.75">
      <c r="C53" s="231"/>
      <c r="D53" s="231"/>
      <c r="E53" s="231"/>
      <c r="F53" s="231"/>
      <c r="G53" s="231"/>
      <c r="H53" s="231"/>
      <c r="I53" s="231"/>
      <c r="J53" s="231"/>
      <c r="K53" s="231"/>
      <c r="L53" s="231"/>
    </row>
    <row r="54" spans="3:12" s="226" customFormat="1" ht="12.75">
      <c r="C54" s="231"/>
      <c r="D54" s="231"/>
      <c r="E54" s="231"/>
      <c r="F54" s="231"/>
      <c r="G54" s="231"/>
      <c r="H54" s="231"/>
      <c r="I54" s="231"/>
      <c r="J54" s="231"/>
      <c r="K54" s="231"/>
      <c r="L54" s="231"/>
    </row>
    <row r="55" spans="3:12" s="226" customFormat="1" ht="12.75">
      <c r="C55" s="231"/>
      <c r="D55" s="231"/>
      <c r="E55" s="231"/>
      <c r="F55" s="231"/>
      <c r="G55" s="231"/>
      <c r="H55" s="231"/>
      <c r="I55" s="231"/>
      <c r="J55" s="231"/>
      <c r="K55" s="231"/>
      <c r="L55" s="231"/>
    </row>
    <row r="56" spans="3:12" s="226" customFormat="1" ht="12.75">
      <c r="C56" s="231"/>
      <c r="D56" s="231"/>
      <c r="E56" s="231"/>
      <c r="F56" s="231"/>
      <c r="G56" s="231"/>
      <c r="H56" s="231"/>
      <c r="I56" s="231"/>
      <c r="J56" s="231"/>
      <c r="K56" s="231"/>
      <c r="L56" s="231"/>
    </row>
    <row r="57" spans="1:30" s="234" customFormat="1" ht="15.75">
      <c r="A57" s="231"/>
      <c r="B57" s="232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</row>
    <row r="58" spans="1:30" ht="12.75">
      <c r="A58" s="235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</row>
    <row r="59" spans="1:30" ht="12.75">
      <c r="A59" s="237"/>
      <c r="B59" s="238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</row>
    <row r="60" spans="1:30" ht="12.75">
      <c r="A60" s="237"/>
      <c r="B60" s="238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</row>
    <row r="61" spans="1:30" ht="12.75">
      <c r="A61" s="239"/>
      <c r="B61" s="238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</row>
    <row r="62" spans="1:30" ht="12.75">
      <c r="A62" s="239"/>
      <c r="B62" s="238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</row>
    <row r="63" spans="1:30" ht="12.75">
      <c r="A63" s="239"/>
      <c r="B63" s="238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</row>
    <row r="64" spans="1:30" ht="12.75">
      <c r="A64" s="239"/>
      <c r="B64" s="238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</row>
    <row r="65" spans="1:30" ht="12.75">
      <c r="A65" s="239"/>
      <c r="B65" s="238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</row>
    <row r="66" spans="1:30" ht="12.75">
      <c r="A66" s="239"/>
      <c r="B66" s="238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</row>
    <row r="67" spans="1:30" ht="12.75">
      <c r="A67" s="239"/>
      <c r="B67" s="238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</row>
    <row r="68" spans="1:30" ht="12.75">
      <c r="A68" s="239"/>
      <c r="B68" s="238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</row>
  </sheetData>
  <mergeCells count="7">
    <mergeCell ref="A2:T2"/>
    <mergeCell ref="AE4:AF4"/>
    <mergeCell ref="AJ4:AO4"/>
    <mergeCell ref="C4:F4"/>
    <mergeCell ref="G4:J4"/>
    <mergeCell ref="L4:T4"/>
    <mergeCell ref="U4:AD4"/>
  </mergeCells>
  <printOptions/>
  <pageMargins left="0.4330708661417323" right="0.4724409448818898" top="0.5" bottom="0.49" header="0.34" footer="0.44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8"/>
  <sheetViews>
    <sheetView showZeros="0" workbookViewId="0" topLeftCell="A1">
      <pane xSplit="1" ySplit="4" topLeftCell="D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75" sqref="F75"/>
    </sheetView>
  </sheetViews>
  <sheetFormatPr defaultColWidth="9.00390625" defaultRowHeight="15" customHeight="1"/>
  <cols>
    <col min="1" max="1" width="30.375" style="4" customWidth="1"/>
    <col min="2" max="3" width="7.375" style="4" hidden="1" customWidth="1"/>
    <col min="4" max="4" width="10.125" style="4" customWidth="1"/>
    <col min="5" max="5" width="9.625" style="4" bestFit="1" customWidth="1"/>
    <col min="6" max="6" width="7.125" style="4" customWidth="1"/>
    <col min="7" max="7" width="8.75390625" style="4" bestFit="1" customWidth="1"/>
    <col min="8" max="12" width="7.875" style="4" bestFit="1" customWidth="1"/>
    <col min="13" max="13" width="6.625" style="4" bestFit="1" customWidth="1"/>
    <col min="14" max="14" width="6.25390625" style="4" customWidth="1"/>
    <col min="15" max="15" width="8.75390625" style="4" customWidth="1"/>
    <col min="16" max="16384" width="9.125" style="4" customWidth="1"/>
  </cols>
  <sheetData>
    <row r="1" ht="15" customHeight="1">
      <c r="O1" s="32" t="s">
        <v>94</v>
      </c>
    </row>
    <row r="2" spans="1:15" ht="31.5" customHeight="1">
      <c r="A2" s="263" t="s">
        <v>95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ht="15" customHeight="1">
      <c r="A3" s="3"/>
    </row>
    <row r="4" spans="1:15" s="8" customFormat="1" ht="22.5">
      <c r="A4" s="5" t="s">
        <v>0</v>
      </c>
      <c r="B4" s="6" t="s">
        <v>1</v>
      </c>
      <c r="C4" s="5" t="s">
        <v>2</v>
      </c>
      <c r="D4" s="6" t="s">
        <v>91</v>
      </c>
      <c r="E4" s="6" t="s">
        <v>92</v>
      </c>
      <c r="F4" s="6" t="s">
        <v>93</v>
      </c>
      <c r="G4" s="6" t="s">
        <v>39</v>
      </c>
      <c r="H4" s="6" t="s">
        <v>40</v>
      </c>
      <c r="I4" s="6" t="s">
        <v>41</v>
      </c>
      <c r="J4" s="6" t="s">
        <v>42</v>
      </c>
      <c r="K4" s="6" t="s">
        <v>43</v>
      </c>
      <c r="L4" s="7" t="s">
        <v>57</v>
      </c>
      <c r="M4" s="6" t="s">
        <v>88</v>
      </c>
      <c r="N4" s="6" t="s">
        <v>89</v>
      </c>
      <c r="O4" s="6" t="s">
        <v>90</v>
      </c>
    </row>
    <row r="5" spans="1:15" ht="11.25">
      <c r="A5" s="9" t="s">
        <v>71</v>
      </c>
      <c r="B5" s="10">
        <v>22</v>
      </c>
      <c r="C5" s="11">
        <f aca="true" t="shared" si="0" ref="C5:C11">E5/B5/12</f>
        <v>1937.1</v>
      </c>
      <c r="D5" s="10">
        <v>521614</v>
      </c>
      <c r="E5" s="10">
        <v>511396</v>
      </c>
      <c r="F5" s="25">
        <f aca="true" t="shared" si="1" ref="F5:F36">E5/D5</f>
        <v>0.98</v>
      </c>
      <c r="G5" s="10">
        <v>365194</v>
      </c>
      <c r="H5" s="10">
        <v>25122</v>
      </c>
      <c r="I5" s="10">
        <v>67301</v>
      </c>
      <c r="J5" s="10">
        <v>9359</v>
      </c>
      <c r="K5" s="10">
        <v>3621</v>
      </c>
      <c r="L5" s="10">
        <v>0</v>
      </c>
      <c r="M5" s="10">
        <v>0</v>
      </c>
      <c r="N5" s="10">
        <v>0</v>
      </c>
      <c r="O5" s="10">
        <f aca="true" t="shared" si="2" ref="O5:O36">E5-(SUM(G5:N5))</f>
        <v>40799</v>
      </c>
    </row>
    <row r="6" spans="1:15" ht="11.25">
      <c r="A6" s="9" t="s">
        <v>72</v>
      </c>
      <c r="B6" s="10">
        <v>108</v>
      </c>
      <c r="C6" s="11">
        <f t="shared" si="0"/>
        <v>1731.4</v>
      </c>
      <c r="D6" s="10">
        <v>2266933</v>
      </c>
      <c r="E6" s="10">
        <v>2243887</v>
      </c>
      <c r="F6" s="25">
        <f t="shared" si="1"/>
        <v>0.99</v>
      </c>
      <c r="G6" s="10">
        <v>1389039</v>
      </c>
      <c r="H6" s="10">
        <v>102271</v>
      </c>
      <c r="I6" s="10">
        <v>235055</v>
      </c>
      <c r="J6" s="10">
        <v>33332</v>
      </c>
      <c r="K6" s="10">
        <v>129590</v>
      </c>
      <c r="L6" s="10">
        <v>119996</v>
      </c>
      <c r="M6" s="10">
        <v>156500</v>
      </c>
      <c r="N6" s="10">
        <v>0</v>
      </c>
      <c r="O6" s="10">
        <f t="shared" si="2"/>
        <v>78104</v>
      </c>
    </row>
    <row r="7" spans="1:15" ht="11.25">
      <c r="A7" s="9" t="s">
        <v>24</v>
      </c>
      <c r="B7" s="10">
        <v>73</v>
      </c>
      <c r="C7" s="11">
        <f t="shared" si="0"/>
        <v>1955</v>
      </c>
      <c r="D7" s="10">
        <v>1718065</v>
      </c>
      <c r="E7" s="10">
        <v>1712622</v>
      </c>
      <c r="F7" s="25">
        <f t="shared" si="1"/>
        <v>0.997</v>
      </c>
      <c r="G7" s="10">
        <v>1259123</v>
      </c>
      <c r="H7" s="10">
        <v>104414</v>
      </c>
      <c r="I7" s="10">
        <v>230032</v>
      </c>
      <c r="J7" s="10">
        <v>32208</v>
      </c>
      <c r="K7" s="10">
        <v>18184</v>
      </c>
      <c r="L7" s="10">
        <v>0</v>
      </c>
      <c r="M7" s="10">
        <v>0</v>
      </c>
      <c r="N7" s="10">
        <v>0</v>
      </c>
      <c r="O7" s="10">
        <f t="shared" si="2"/>
        <v>68661</v>
      </c>
    </row>
    <row r="8" spans="1:15" ht="11.25">
      <c r="A8" s="13" t="s">
        <v>69</v>
      </c>
      <c r="B8" s="14">
        <f>SUM(B5:B7)</f>
        <v>203</v>
      </c>
      <c r="C8" s="15">
        <f t="shared" si="0"/>
        <v>1834.1</v>
      </c>
      <c r="D8" s="14">
        <f>SUM(D5:D7)</f>
        <v>4506612</v>
      </c>
      <c r="E8" s="14">
        <f>SUM(E5:E7)</f>
        <v>4467905</v>
      </c>
      <c r="F8" s="26">
        <f t="shared" si="1"/>
        <v>0.991</v>
      </c>
      <c r="G8" s="14">
        <f aca="true" t="shared" si="3" ref="G8:N8">SUM(G5:G7)</f>
        <v>3013356</v>
      </c>
      <c r="H8" s="14">
        <f t="shared" si="3"/>
        <v>231807</v>
      </c>
      <c r="I8" s="14">
        <f t="shared" si="3"/>
        <v>532388</v>
      </c>
      <c r="J8" s="14">
        <f t="shared" si="3"/>
        <v>74899</v>
      </c>
      <c r="K8" s="14">
        <f t="shared" si="3"/>
        <v>151395</v>
      </c>
      <c r="L8" s="14">
        <f t="shared" si="3"/>
        <v>119996</v>
      </c>
      <c r="M8" s="14">
        <f t="shared" si="3"/>
        <v>156500</v>
      </c>
      <c r="N8" s="14">
        <f t="shared" si="3"/>
        <v>0</v>
      </c>
      <c r="O8" s="14">
        <f t="shared" si="2"/>
        <v>187564</v>
      </c>
    </row>
    <row r="9" spans="1:15" ht="11.25">
      <c r="A9" s="9" t="s">
        <v>71</v>
      </c>
      <c r="B9" s="10">
        <v>18</v>
      </c>
      <c r="C9" s="11">
        <f t="shared" si="0"/>
        <v>1702.6</v>
      </c>
      <c r="D9" s="10">
        <v>370517</v>
      </c>
      <c r="E9" s="10">
        <v>367753</v>
      </c>
      <c r="F9" s="25">
        <f t="shared" si="1"/>
        <v>0.993</v>
      </c>
      <c r="G9" s="10">
        <v>274448</v>
      </c>
      <c r="H9" s="10">
        <v>17826</v>
      </c>
      <c r="I9" s="10">
        <v>47099</v>
      </c>
      <c r="J9" s="10">
        <v>6610</v>
      </c>
      <c r="K9" s="10">
        <v>1855</v>
      </c>
      <c r="L9" s="10">
        <v>0</v>
      </c>
      <c r="M9" s="10">
        <v>0</v>
      </c>
      <c r="N9" s="10">
        <v>0</v>
      </c>
      <c r="O9" s="10">
        <f t="shared" si="2"/>
        <v>19915</v>
      </c>
    </row>
    <row r="10" spans="1:15" ht="11.25">
      <c r="A10" s="9" t="s">
        <v>72</v>
      </c>
      <c r="B10" s="10">
        <v>94</v>
      </c>
      <c r="C10" s="11">
        <f t="shared" si="0"/>
        <v>1398.4</v>
      </c>
      <c r="D10" s="10">
        <v>1598522</v>
      </c>
      <c r="E10" s="10">
        <v>1577390</v>
      </c>
      <c r="F10" s="25">
        <f t="shared" si="1"/>
        <v>0.987</v>
      </c>
      <c r="G10" s="10">
        <v>1181723</v>
      </c>
      <c r="H10" s="10">
        <v>87442</v>
      </c>
      <c r="I10" s="10">
        <v>209821</v>
      </c>
      <c r="J10" s="10">
        <v>29554</v>
      </c>
      <c r="K10" s="10">
        <v>0</v>
      </c>
      <c r="L10" s="10">
        <v>998</v>
      </c>
      <c r="M10" s="10">
        <v>0</v>
      </c>
      <c r="N10" s="10">
        <v>0</v>
      </c>
      <c r="O10" s="10">
        <f t="shared" si="2"/>
        <v>67852</v>
      </c>
    </row>
    <row r="11" spans="1:15" ht="11.25">
      <c r="A11" s="9" t="s">
        <v>24</v>
      </c>
      <c r="B11" s="10">
        <v>36</v>
      </c>
      <c r="C11" s="11">
        <f t="shared" si="0"/>
        <v>1446.6</v>
      </c>
      <c r="D11" s="10">
        <v>629828</v>
      </c>
      <c r="E11" s="10">
        <v>624911</v>
      </c>
      <c r="F11" s="25">
        <f t="shared" si="1"/>
        <v>0.992</v>
      </c>
      <c r="G11" s="10">
        <v>466592</v>
      </c>
      <c r="H11" s="10">
        <v>27848</v>
      </c>
      <c r="I11" s="10">
        <v>86499</v>
      </c>
      <c r="J11" s="10">
        <v>11834</v>
      </c>
      <c r="K11" s="10">
        <v>508</v>
      </c>
      <c r="L11" s="10">
        <v>0</v>
      </c>
      <c r="M11" s="10">
        <v>0</v>
      </c>
      <c r="N11" s="10">
        <v>0</v>
      </c>
      <c r="O11" s="10">
        <f t="shared" si="2"/>
        <v>31630</v>
      </c>
    </row>
    <row r="12" spans="1:15" ht="11.25">
      <c r="A12" s="13" t="s">
        <v>68</v>
      </c>
      <c r="B12" s="14">
        <f>SUM(B9:B11)</f>
        <v>148</v>
      </c>
      <c r="C12" s="14">
        <f>SUM(C9:C11)</f>
        <v>4548</v>
      </c>
      <c r="D12" s="14">
        <f>SUM(D9:D11)</f>
        <v>2598867</v>
      </c>
      <c r="E12" s="14">
        <f>SUM(E9:E11)</f>
        <v>2570054</v>
      </c>
      <c r="F12" s="26">
        <f t="shared" si="1"/>
        <v>0.989</v>
      </c>
      <c r="G12" s="14">
        <f aca="true" t="shared" si="4" ref="G12:N12">SUM(G9:G11)</f>
        <v>1922763</v>
      </c>
      <c r="H12" s="14">
        <f t="shared" si="4"/>
        <v>133116</v>
      </c>
      <c r="I12" s="14">
        <f t="shared" si="4"/>
        <v>343419</v>
      </c>
      <c r="J12" s="14">
        <f t="shared" si="4"/>
        <v>47998</v>
      </c>
      <c r="K12" s="14">
        <f t="shared" si="4"/>
        <v>2363</v>
      </c>
      <c r="L12" s="14">
        <f t="shared" si="4"/>
        <v>998</v>
      </c>
      <c r="M12" s="14">
        <f t="shared" si="4"/>
        <v>0</v>
      </c>
      <c r="N12" s="14">
        <f t="shared" si="4"/>
        <v>0</v>
      </c>
      <c r="O12" s="14">
        <f t="shared" si="2"/>
        <v>119397</v>
      </c>
    </row>
    <row r="13" spans="1:15" ht="11.25">
      <c r="A13" s="9" t="s">
        <v>12</v>
      </c>
      <c r="B13" s="10">
        <v>500</v>
      </c>
      <c r="C13" s="11">
        <f aca="true" t="shared" si="5" ref="C13:C29">E13/B13/12</f>
        <v>430.6</v>
      </c>
      <c r="D13" s="10">
        <v>2613776</v>
      </c>
      <c r="E13" s="10">
        <v>2583836</v>
      </c>
      <c r="F13" s="25">
        <f t="shared" si="1"/>
        <v>0.989</v>
      </c>
      <c r="G13" s="10">
        <v>1689849</v>
      </c>
      <c r="H13" s="10">
        <v>120391</v>
      </c>
      <c r="I13" s="10">
        <v>300802</v>
      </c>
      <c r="J13" s="10">
        <v>42211</v>
      </c>
      <c r="K13" s="10">
        <v>17050</v>
      </c>
      <c r="L13" s="10">
        <v>1157</v>
      </c>
      <c r="M13" s="10">
        <v>12000</v>
      </c>
      <c r="N13" s="10">
        <v>4200</v>
      </c>
      <c r="O13" s="10">
        <f t="shared" si="2"/>
        <v>396176</v>
      </c>
    </row>
    <row r="14" spans="1:15" ht="11.25">
      <c r="A14" s="9" t="s">
        <v>13</v>
      </c>
      <c r="B14" s="10">
        <v>555</v>
      </c>
      <c r="C14" s="11">
        <f t="shared" si="5"/>
        <v>432.6</v>
      </c>
      <c r="D14" s="10">
        <v>2881833</v>
      </c>
      <c r="E14" s="10">
        <v>2881342</v>
      </c>
      <c r="F14" s="25">
        <f t="shared" si="1"/>
        <v>1</v>
      </c>
      <c r="G14" s="10">
        <v>2015421</v>
      </c>
      <c r="H14" s="10">
        <v>146204</v>
      </c>
      <c r="I14" s="10">
        <v>344073</v>
      </c>
      <c r="J14" s="10">
        <v>48954</v>
      </c>
      <c r="K14" s="10">
        <v>143899</v>
      </c>
      <c r="L14" s="10">
        <v>2440</v>
      </c>
      <c r="M14" s="10">
        <v>0</v>
      </c>
      <c r="N14" s="10">
        <v>0</v>
      </c>
      <c r="O14" s="10">
        <f t="shared" si="2"/>
        <v>180351</v>
      </c>
    </row>
    <row r="15" spans="1:15" s="3" customFormat="1" ht="11.25">
      <c r="A15" s="9" t="s">
        <v>3</v>
      </c>
      <c r="B15" s="10">
        <v>644</v>
      </c>
      <c r="C15" s="11">
        <f t="shared" si="5"/>
        <v>544.6</v>
      </c>
      <c r="D15" s="10">
        <f>4251490+18112</f>
        <v>4269602</v>
      </c>
      <c r="E15" s="10">
        <f>4190848+17885</f>
        <v>4208733</v>
      </c>
      <c r="F15" s="25">
        <f t="shared" si="1"/>
        <v>0.986</v>
      </c>
      <c r="G15" s="10">
        <v>2916898</v>
      </c>
      <c r="H15" s="10">
        <v>208094</v>
      </c>
      <c r="I15" s="10">
        <v>495516</v>
      </c>
      <c r="J15" s="10">
        <v>72872</v>
      </c>
      <c r="K15" s="10">
        <v>141611</v>
      </c>
      <c r="L15" s="10">
        <v>60000</v>
      </c>
      <c r="M15" s="10">
        <v>0</v>
      </c>
      <c r="N15" s="10">
        <v>0</v>
      </c>
      <c r="O15" s="10">
        <f t="shared" si="2"/>
        <v>313742</v>
      </c>
    </row>
    <row r="16" spans="1:15" s="3" customFormat="1" ht="11.25">
      <c r="A16" s="9" t="s">
        <v>4</v>
      </c>
      <c r="B16" s="10">
        <v>542</v>
      </c>
      <c r="C16" s="11">
        <f t="shared" si="5"/>
        <v>414.9</v>
      </c>
      <c r="D16" s="10">
        <f>2728878+3950+5984</f>
        <v>2738812</v>
      </c>
      <c r="E16" s="10">
        <f>2692256+1165+4779</f>
        <v>2698200</v>
      </c>
      <c r="F16" s="25">
        <f t="shared" si="1"/>
        <v>0.985</v>
      </c>
      <c r="G16" s="10">
        <v>1722620</v>
      </c>
      <c r="H16" s="10">
        <v>125035</v>
      </c>
      <c r="I16" s="10">
        <v>290152</v>
      </c>
      <c r="J16" s="10">
        <v>42881</v>
      </c>
      <c r="K16" s="10">
        <v>128807</v>
      </c>
      <c r="L16" s="10">
        <v>169944</v>
      </c>
      <c r="M16" s="10">
        <v>0</v>
      </c>
      <c r="N16" s="10">
        <v>0</v>
      </c>
      <c r="O16" s="10">
        <f t="shared" si="2"/>
        <v>218761</v>
      </c>
    </row>
    <row r="17" spans="1:15" ht="11.25">
      <c r="A17" s="9" t="s">
        <v>14</v>
      </c>
      <c r="B17" s="10">
        <v>483</v>
      </c>
      <c r="C17" s="11">
        <f t="shared" si="5"/>
        <v>410.3</v>
      </c>
      <c r="D17" s="10">
        <v>2401549</v>
      </c>
      <c r="E17" s="10">
        <v>2378335</v>
      </c>
      <c r="F17" s="25">
        <f t="shared" si="1"/>
        <v>0.99</v>
      </c>
      <c r="G17" s="10">
        <v>1665467</v>
      </c>
      <c r="H17" s="10">
        <v>124872</v>
      </c>
      <c r="I17" s="10">
        <v>298729</v>
      </c>
      <c r="J17" s="10">
        <v>42547</v>
      </c>
      <c r="K17" s="10">
        <v>80594</v>
      </c>
      <c r="L17" s="10">
        <v>1177</v>
      </c>
      <c r="M17" s="10">
        <v>0</v>
      </c>
      <c r="N17" s="10">
        <v>0</v>
      </c>
      <c r="O17" s="10">
        <f t="shared" si="2"/>
        <v>164949</v>
      </c>
    </row>
    <row r="18" spans="1:15" ht="11.25">
      <c r="A18" s="9" t="s">
        <v>5</v>
      </c>
      <c r="B18" s="10">
        <v>568</v>
      </c>
      <c r="C18" s="11">
        <f t="shared" si="5"/>
        <v>425</v>
      </c>
      <c r="D18" s="10">
        <v>2919865</v>
      </c>
      <c r="E18" s="10">
        <v>2896741</v>
      </c>
      <c r="F18" s="25">
        <f t="shared" si="1"/>
        <v>0.992</v>
      </c>
      <c r="G18" s="10">
        <v>2013972</v>
      </c>
      <c r="H18" s="10">
        <v>139706</v>
      </c>
      <c r="I18" s="10">
        <v>324480</v>
      </c>
      <c r="J18" s="10">
        <v>48179</v>
      </c>
      <c r="K18" s="10">
        <v>87133</v>
      </c>
      <c r="L18" s="10">
        <v>45321</v>
      </c>
      <c r="M18" s="10">
        <v>75679</v>
      </c>
      <c r="N18" s="10">
        <v>0</v>
      </c>
      <c r="O18" s="10">
        <f t="shared" si="2"/>
        <v>162271</v>
      </c>
    </row>
    <row r="19" spans="1:15" ht="11.25">
      <c r="A19" s="9" t="s">
        <v>15</v>
      </c>
      <c r="B19" s="10">
        <v>177</v>
      </c>
      <c r="C19" s="11">
        <f t="shared" si="5"/>
        <v>563.8</v>
      </c>
      <c r="D19" s="10">
        <v>1202408</v>
      </c>
      <c r="E19" s="10">
        <v>1197613</v>
      </c>
      <c r="F19" s="25">
        <f t="shared" si="1"/>
        <v>0.996</v>
      </c>
      <c r="G19" s="10">
        <v>672037</v>
      </c>
      <c r="H19" s="10">
        <v>49393</v>
      </c>
      <c r="I19" s="10">
        <v>117086</v>
      </c>
      <c r="J19" s="10">
        <v>17036</v>
      </c>
      <c r="K19" s="10">
        <v>45873</v>
      </c>
      <c r="L19" s="10">
        <v>161143</v>
      </c>
      <c r="M19" s="10">
        <v>0</v>
      </c>
      <c r="N19" s="10">
        <v>0</v>
      </c>
      <c r="O19" s="10">
        <f t="shared" si="2"/>
        <v>135045</v>
      </c>
    </row>
    <row r="20" spans="1:15" ht="11.25">
      <c r="A20" s="9" t="s">
        <v>6</v>
      </c>
      <c r="B20" s="10">
        <v>263</v>
      </c>
      <c r="C20" s="11">
        <f t="shared" si="5"/>
        <v>488.5</v>
      </c>
      <c r="D20" s="10">
        <v>1664369</v>
      </c>
      <c r="E20" s="10">
        <v>1541733</v>
      </c>
      <c r="F20" s="25">
        <f t="shared" si="1"/>
        <v>0.926</v>
      </c>
      <c r="G20" s="10">
        <v>1032669</v>
      </c>
      <c r="H20" s="10">
        <v>94192</v>
      </c>
      <c r="I20" s="10">
        <v>119275</v>
      </c>
      <c r="J20" s="10">
        <v>25481</v>
      </c>
      <c r="K20" s="10">
        <v>75822</v>
      </c>
      <c r="L20" s="10">
        <v>88297</v>
      </c>
      <c r="M20" s="10">
        <v>0</v>
      </c>
      <c r="N20" s="10">
        <v>0</v>
      </c>
      <c r="O20" s="10">
        <f t="shared" si="2"/>
        <v>105997</v>
      </c>
    </row>
    <row r="21" spans="1:15" ht="11.25">
      <c r="A21" s="9" t="s">
        <v>16</v>
      </c>
      <c r="B21" s="10">
        <v>514</v>
      </c>
      <c r="C21" s="11">
        <f t="shared" si="5"/>
        <v>387.8</v>
      </c>
      <c r="D21" s="10">
        <v>2413305</v>
      </c>
      <c r="E21" s="10">
        <v>2391840</v>
      </c>
      <c r="F21" s="25">
        <f t="shared" si="1"/>
        <v>0.991</v>
      </c>
      <c r="G21" s="10">
        <f>1618995+1976</f>
        <v>1620971</v>
      </c>
      <c r="H21" s="10">
        <v>121932</v>
      </c>
      <c r="I21" s="10">
        <f>292266-1976</f>
        <v>290290</v>
      </c>
      <c r="J21" s="10">
        <v>40954</v>
      </c>
      <c r="K21" s="10">
        <v>54877</v>
      </c>
      <c r="L21" s="10">
        <v>27997</v>
      </c>
      <c r="M21" s="10">
        <v>0</v>
      </c>
      <c r="N21" s="10">
        <v>0</v>
      </c>
      <c r="O21" s="10">
        <f t="shared" si="2"/>
        <v>234819</v>
      </c>
    </row>
    <row r="22" spans="1:15" s="3" customFormat="1" ht="11.25">
      <c r="A22" s="9" t="s">
        <v>17</v>
      </c>
      <c r="B22" s="10">
        <v>411</v>
      </c>
      <c r="C22" s="11">
        <f t="shared" si="5"/>
        <v>394.1</v>
      </c>
      <c r="D22" s="10">
        <v>1959881</v>
      </c>
      <c r="E22" s="10">
        <v>1943921</v>
      </c>
      <c r="F22" s="25">
        <f t="shared" si="1"/>
        <v>0.992</v>
      </c>
      <c r="G22" s="10">
        <v>1281530</v>
      </c>
      <c r="H22" s="10">
        <v>96513</v>
      </c>
      <c r="I22" s="10">
        <v>216081</v>
      </c>
      <c r="J22" s="10">
        <v>31749</v>
      </c>
      <c r="K22" s="10">
        <v>86193</v>
      </c>
      <c r="L22" s="10">
        <v>92492</v>
      </c>
      <c r="M22" s="10">
        <v>0</v>
      </c>
      <c r="N22" s="10">
        <v>0</v>
      </c>
      <c r="O22" s="10">
        <f t="shared" si="2"/>
        <v>139363</v>
      </c>
    </row>
    <row r="23" spans="1:15" ht="11.25">
      <c r="A23" s="9" t="s">
        <v>18</v>
      </c>
      <c r="B23" s="10">
        <v>285</v>
      </c>
      <c r="C23" s="11">
        <f t="shared" si="5"/>
        <v>368.8</v>
      </c>
      <c r="D23" s="10">
        <v>1261538</v>
      </c>
      <c r="E23" s="10">
        <v>1261455</v>
      </c>
      <c r="F23" s="25">
        <f t="shared" si="1"/>
        <v>1</v>
      </c>
      <c r="G23" s="10">
        <v>916644</v>
      </c>
      <c r="H23" s="10">
        <v>67763</v>
      </c>
      <c r="I23" s="10">
        <v>163512</v>
      </c>
      <c r="J23" s="10">
        <v>23196</v>
      </c>
      <c r="K23" s="10">
        <v>14071</v>
      </c>
      <c r="L23" s="10">
        <v>300</v>
      </c>
      <c r="M23" s="10">
        <v>0</v>
      </c>
      <c r="N23" s="10">
        <v>0</v>
      </c>
      <c r="O23" s="10">
        <f t="shared" si="2"/>
        <v>75969</v>
      </c>
    </row>
    <row r="24" spans="1:15" ht="11.25">
      <c r="A24" s="9" t="s">
        <v>7</v>
      </c>
      <c r="B24" s="10">
        <v>309</v>
      </c>
      <c r="C24" s="11">
        <f t="shared" si="5"/>
        <v>527</v>
      </c>
      <c r="D24" s="10">
        <v>1969521</v>
      </c>
      <c r="E24" s="10">
        <v>1953987</v>
      </c>
      <c r="F24" s="25">
        <f t="shared" si="1"/>
        <v>0.992</v>
      </c>
      <c r="G24" s="10">
        <v>1193925</v>
      </c>
      <c r="H24" s="10">
        <v>92563</v>
      </c>
      <c r="I24" s="10">
        <v>208742</v>
      </c>
      <c r="J24" s="10">
        <v>29236</v>
      </c>
      <c r="K24" s="10">
        <v>175419</v>
      </c>
      <c r="L24" s="10">
        <v>112200</v>
      </c>
      <c r="M24" s="10">
        <v>49984</v>
      </c>
      <c r="N24" s="10">
        <v>0</v>
      </c>
      <c r="O24" s="10">
        <f t="shared" si="2"/>
        <v>91918</v>
      </c>
    </row>
    <row r="25" spans="1:15" ht="11.25">
      <c r="A25" s="9" t="s">
        <v>19</v>
      </c>
      <c r="B25" s="10">
        <v>509</v>
      </c>
      <c r="C25" s="11">
        <f t="shared" si="5"/>
        <v>384</v>
      </c>
      <c r="D25" s="10">
        <f>2347846+5021</f>
        <v>2352867</v>
      </c>
      <c r="E25" s="10">
        <f>2340611+5021</f>
        <v>2345632</v>
      </c>
      <c r="F25" s="25">
        <f t="shared" si="1"/>
        <v>0.997</v>
      </c>
      <c r="G25" s="10">
        <v>1604555</v>
      </c>
      <c r="H25" s="10">
        <v>122612</v>
      </c>
      <c r="I25" s="10">
        <v>286059</v>
      </c>
      <c r="J25" s="10">
        <v>40199</v>
      </c>
      <c r="K25" s="10">
        <v>89758</v>
      </c>
      <c r="L25" s="10">
        <v>59995</v>
      </c>
      <c r="M25" s="10">
        <v>0</v>
      </c>
      <c r="N25" s="10">
        <v>0</v>
      </c>
      <c r="O25" s="10">
        <f t="shared" si="2"/>
        <v>142454</v>
      </c>
    </row>
    <row r="26" spans="1:15" s="3" customFormat="1" ht="11.25">
      <c r="A26" s="9" t="s">
        <v>23</v>
      </c>
      <c r="B26" s="10">
        <v>269</v>
      </c>
      <c r="C26" s="11">
        <f t="shared" si="5"/>
        <v>189.7</v>
      </c>
      <c r="D26" s="10">
        <v>619083</v>
      </c>
      <c r="E26" s="10">
        <v>612262</v>
      </c>
      <c r="F26" s="25">
        <f t="shared" si="1"/>
        <v>0.989</v>
      </c>
      <c r="G26" s="10">
        <v>415152</v>
      </c>
      <c r="H26" s="10">
        <v>31955</v>
      </c>
      <c r="I26" s="10">
        <v>75107</v>
      </c>
      <c r="J26" s="10">
        <v>10685</v>
      </c>
      <c r="K26" s="10">
        <v>18502</v>
      </c>
      <c r="L26" s="10">
        <v>0</v>
      </c>
      <c r="M26" s="10">
        <v>0</v>
      </c>
      <c r="N26" s="10">
        <v>0</v>
      </c>
      <c r="O26" s="10">
        <f t="shared" si="2"/>
        <v>60861</v>
      </c>
    </row>
    <row r="27" spans="1:15" ht="11.25">
      <c r="A27" s="13" t="s">
        <v>74</v>
      </c>
      <c r="B27" s="14">
        <f>SUM(B13:B26)</f>
        <v>6029</v>
      </c>
      <c r="C27" s="15">
        <f t="shared" si="5"/>
        <v>427</v>
      </c>
      <c r="D27" s="14">
        <f>SUM(D13:D26)</f>
        <v>31268409</v>
      </c>
      <c r="E27" s="14">
        <f>SUM(E13:E26)</f>
        <v>30895630</v>
      </c>
      <c r="F27" s="26">
        <f t="shared" si="1"/>
        <v>0.988</v>
      </c>
      <c r="G27" s="14">
        <f aca="true" t="shared" si="6" ref="G27:N27">SUM(G13:G26)</f>
        <v>20761710</v>
      </c>
      <c r="H27" s="14">
        <f t="shared" si="6"/>
        <v>1541225</v>
      </c>
      <c r="I27" s="14">
        <f t="shared" si="6"/>
        <v>3529904</v>
      </c>
      <c r="J27" s="14">
        <f t="shared" si="6"/>
        <v>516180</v>
      </c>
      <c r="K27" s="14">
        <f t="shared" si="6"/>
        <v>1159609</v>
      </c>
      <c r="L27" s="14">
        <f t="shared" si="6"/>
        <v>822463</v>
      </c>
      <c r="M27" s="14">
        <f t="shared" si="6"/>
        <v>137663</v>
      </c>
      <c r="N27" s="14">
        <f t="shared" si="6"/>
        <v>4200</v>
      </c>
      <c r="O27" s="14">
        <f t="shared" si="2"/>
        <v>2422676</v>
      </c>
    </row>
    <row r="28" spans="1:15" ht="11.25">
      <c r="A28" s="9" t="s">
        <v>71</v>
      </c>
      <c r="B28" s="10">
        <v>16</v>
      </c>
      <c r="C28" s="11">
        <f t="shared" si="5"/>
        <v>1581.6</v>
      </c>
      <c r="D28" s="10">
        <v>307694</v>
      </c>
      <c r="E28" s="10">
        <v>303675</v>
      </c>
      <c r="F28" s="25">
        <f t="shared" si="1"/>
        <v>0.987</v>
      </c>
      <c r="G28" s="10">
        <v>232454</v>
      </c>
      <c r="H28" s="10">
        <v>10979</v>
      </c>
      <c r="I28" s="10">
        <v>39394</v>
      </c>
      <c r="J28" s="10">
        <v>5537</v>
      </c>
      <c r="K28" s="10">
        <v>0</v>
      </c>
      <c r="L28" s="10">
        <v>0</v>
      </c>
      <c r="M28" s="10">
        <v>0</v>
      </c>
      <c r="N28" s="10">
        <v>0</v>
      </c>
      <c r="O28" s="10">
        <f t="shared" si="2"/>
        <v>15311</v>
      </c>
    </row>
    <row r="29" spans="1:15" ht="11.25">
      <c r="A29" s="16" t="s">
        <v>32</v>
      </c>
      <c r="B29" s="10">
        <v>16</v>
      </c>
      <c r="C29" s="11">
        <f t="shared" si="5"/>
        <v>492.1</v>
      </c>
      <c r="D29" s="10">
        <v>94991</v>
      </c>
      <c r="E29" s="10">
        <v>94474</v>
      </c>
      <c r="F29" s="25">
        <f t="shared" si="1"/>
        <v>0.995</v>
      </c>
      <c r="G29" s="10">
        <v>74370</v>
      </c>
      <c r="H29" s="10">
        <v>0</v>
      </c>
      <c r="I29" s="10">
        <v>11360</v>
      </c>
      <c r="J29" s="10">
        <v>1586</v>
      </c>
      <c r="K29" s="10">
        <v>0</v>
      </c>
      <c r="L29" s="10">
        <v>0</v>
      </c>
      <c r="M29" s="10">
        <v>0</v>
      </c>
      <c r="N29" s="10">
        <v>0</v>
      </c>
      <c r="O29" s="10">
        <f t="shared" si="2"/>
        <v>7158</v>
      </c>
    </row>
    <row r="30" spans="1:15" s="8" customFormat="1" ht="21.75">
      <c r="A30" s="17" t="s">
        <v>73</v>
      </c>
      <c r="B30" s="18">
        <f>B28+B29</f>
        <v>32</v>
      </c>
      <c r="C30" s="18">
        <f>C28+C29</f>
        <v>2074</v>
      </c>
      <c r="D30" s="18">
        <f>D28+D29</f>
        <v>402685</v>
      </c>
      <c r="E30" s="18">
        <f>E28+E29</f>
        <v>398149</v>
      </c>
      <c r="F30" s="27">
        <f t="shared" si="1"/>
        <v>0.989</v>
      </c>
      <c r="G30" s="18">
        <f aca="true" t="shared" si="7" ref="G30:N30">G28+G29</f>
        <v>306824</v>
      </c>
      <c r="H30" s="18">
        <f t="shared" si="7"/>
        <v>10979</v>
      </c>
      <c r="I30" s="18">
        <f t="shared" si="7"/>
        <v>50754</v>
      </c>
      <c r="J30" s="18">
        <f t="shared" si="7"/>
        <v>7123</v>
      </c>
      <c r="K30" s="18">
        <f t="shared" si="7"/>
        <v>0</v>
      </c>
      <c r="L30" s="18">
        <f t="shared" si="7"/>
        <v>0</v>
      </c>
      <c r="M30" s="18">
        <f t="shared" si="7"/>
        <v>0</v>
      </c>
      <c r="N30" s="18">
        <f t="shared" si="7"/>
        <v>0</v>
      </c>
      <c r="O30" s="18">
        <f t="shared" si="2"/>
        <v>22469</v>
      </c>
    </row>
    <row r="31" spans="1:15" ht="11.25">
      <c r="A31" s="16" t="s">
        <v>58</v>
      </c>
      <c r="B31" s="10">
        <v>103</v>
      </c>
      <c r="C31" s="11">
        <f aca="true" t="shared" si="8" ref="C31:C56">E31/B31/12</f>
        <v>538.6</v>
      </c>
      <c r="D31" s="10">
        <v>684003</v>
      </c>
      <c r="E31" s="10">
        <v>665728</v>
      </c>
      <c r="F31" s="25">
        <f t="shared" si="1"/>
        <v>0.973</v>
      </c>
      <c r="G31" s="10">
        <v>447098</v>
      </c>
      <c r="H31" s="10">
        <v>32941</v>
      </c>
      <c r="I31" s="10">
        <v>79476</v>
      </c>
      <c r="J31" s="10">
        <v>10348</v>
      </c>
      <c r="K31" s="10">
        <v>54006</v>
      </c>
      <c r="L31" s="10">
        <v>201</v>
      </c>
      <c r="M31" s="10">
        <v>0</v>
      </c>
      <c r="N31" s="10">
        <v>0</v>
      </c>
      <c r="O31" s="10">
        <f t="shared" si="2"/>
        <v>41658</v>
      </c>
    </row>
    <row r="32" spans="1:15" ht="11.25">
      <c r="A32" s="9" t="s">
        <v>59</v>
      </c>
      <c r="B32" s="10">
        <v>48</v>
      </c>
      <c r="C32" s="11">
        <f t="shared" si="8"/>
        <v>486.8</v>
      </c>
      <c r="D32" s="10">
        <v>290251</v>
      </c>
      <c r="E32" s="10">
        <v>280386</v>
      </c>
      <c r="F32" s="25">
        <f t="shared" si="1"/>
        <v>0.966</v>
      </c>
      <c r="G32" s="10">
        <v>181011</v>
      </c>
      <c r="H32" s="10">
        <v>29353</v>
      </c>
      <c r="I32" s="10">
        <v>37298</v>
      </c>
      <c r="J32" s="10">
        <v>5290</v>
      </c>
      <c r="K32" s="10">
        <v>11000</v>
      </c>
      <c r="L32" s="10">
        <v>0</v>
      </c>
      <c r="M32" s="10">
        <v>0</v>
      </c>
      <c r="N32" s="10">
        <v>0</v>
      </c>
      <c r="O32" s="10">
        <f t="shared" si="2"/>
        <v>16434</v>
      </c>
    </row>
    <row r="33" spans="1:15" ht="11.25">
      <c r="A33" s="9" t="s">
        <v>75</v>
      </c>
      <c r="B33" s="10">
        <v>15</v>
      </c>
      <c r="C33" s="11">
        <f t="shared" si="8"/>
        <v>433.5</v>
      </c>
      <c r="D33" s="10">
        <v>78025</v>
      </c>
      <c r="E33" s="10">
        <v>78023</v>
      </c>
      <c r="F33" s="25">
        <f t="shared" si="1"/>
        <v>1</v>
      </c>
      <c r="G33" s="10">
        <v>51250</v>
      </c>
      <c r="H33" s="10">
        <v>5938</v>
      </c>
      <c r="I33" s="10">
        <v>10408</v>
      </c>
      <c r="J33" s="10">
        <v>1500</v>
      </c>
      <c r="K33" s="10">
        <v>3200</v>
      </c>
      <c r="L33" s="10">
        <v>0</v>
      </c>
      <c r="M33" s="10">
        <v>0</v>
      </c>
      <c r="N33" s="10">
        <v>0</v>
      </c>
      <c r="O33" s="10">
        <f t="shared" si="2"/>
        <v>5727</v>
      </c>
    </row>
    <row r="34" spans="1:15" ht="11.25">
      <c r="A34" s="9" t="s">
        <v>27</v>
      </c>
      <c r="B34" s="10">
        <v>11</v>
      </c>
      <c r="C34" s="11">
        <f t="shared" si="8"/>
        <v>564.6</v>
      </c>
      <c r="D34" s="10">
        <v>74532</v>
      </c>
      <c r="E34" s="10">
        <v>74530</v>
      </c>
      <c r="F34" s="25">
        <f t="shared" si="1"/>
        <v>1</v>
      </c>
      <c r="G34" s="10">
        <v>39639</v>
      </c>
      <c r="H34" s="10">
        <v>5819</v>
      </c>
      <c r="I34" s="10">
        <v>8373</v>
      </c>
      <c r="J34" s="10">
        <v>1175</v>
      </c>
      <c r="K34" s="10">
        <v>15068</v>
      </c>
      <c r="L34" s="10">
        <v>0</v>
      </c>
      <c r="M34" s="10">
        <v>0</v>
      </c>
      <c r="N34" s="10">
        <v>0</v>
      </c>
      <c r="O34" s="10">
        <f t="shared" si="2"/>
        <v>4456</v>
      </c>
    </row>
    <row r="35" spans="1:15" ht="11.25">
      <c r="A35" s="9" t="s">
        <v>63</v>
      </c>
      <c r="B35" s="10">
        <v>331</v>
      </c>
      <c r="C35" s="11">
        <f t="shared" si="8"/>
        <v>439.1</v>
      </c>
      <c r="D35" s="10">
        <v>1750164</v>
      </c>
      <c r="E35" s="10">
        <v>1743945</v>
      </c>
      <c r="F35" s="25">
        <f t="shared" si="1"/>
        <v>0.996</v>
      </c>
      <c r="G35" s="10">
        <v>1190523</v>
      </c>
      <c r="H35" s="10">
        <v>96234</v>
      </c>
      <c r="I35" s="10">
        <v>210328</v>
      </c>
      <c r="J35" s="10">
        <v>28493</v>
      </c>
      <c r="K35" s="10">
        <v>95595</v>
      </c>
      <c r="L35" s="10">
        <v>0</v>
      </c>
      <c r="M35" s="10">
        <v>0</v>
      </c>
      <c r="N35" s="10">
        <v>0</v>
      </c>
      <c r="O35" s="10">
        <f t="shared" si="2"/>
        <v>122772</v>
      </c>
    </row>
    <row r="36" spans="1:15" ht="11.25">
      <c r="A36" s="9" t="s">
        <v>77</v>
      </c>
      <c r="B36" s="10">
        <v>56</v>
      </c>
      <c r="C36" s="11">
        <f t="shared" si="8"/>
        <v>374</v>
      </c>
      <c r="D36" s="10">
        <v>253686</v>
      </c>
      <c r="E36" s="10">
        <v>251357</v>
      </c>
      <c r="F36" s="25">
        <f t="shared" si="1"/>
        <v>0.991</v>
      </c>
      <c r="G36" s="10">
        <v>168645</v>
      </c>
      <c r="H36" s="10">
        <v>11974</v>
      </c>
      <c r="I36" s="10">
        <v>29112</v>
      </c>
      <c r="J36" s="10">
        <v>4050</v>
      </c>
      <c r="K36" s="10">
        <v>13700</v>
      </c>
      <c r="L36" s="10">
        <v>0</v>
      </c>
      <c r="M36" s="10">
        <v>0</v>
      </c>
      <c r="N36" s="10">
        <v>0</v>
      </c>
      <c r="O36" s="10">
        <f t="shared" si="2"/>
        <v>23876</v>
      </c>
    </row>
    <row r="37" spans="1:15" ht="11.25">
      <c r="A37" s="9" t="s">
        <v>29</v>
      </c>
      <c r="B37" s="10">
        <v>79</v>
      </c>
      <c r="C37" s="11">
        <f t="shared" si="8"/>
        <v>239.5</v>
      </c>
      <c r="D37" s="10">
        <v>243023</v>
      </c>
      <c r="E37" s="10">
        <v>227082</v>
      </c>
      <c r="F37" s="25">
        <f aca="true" t="shared" si="9" ref="F37:F68">E37/D37</f>
        <v>0.934</v>
      </c>
      <c r="G37" s="10">
        <v>157806</v>
      </c>
      <c r="H37" s="10">
        <v>11331</v>
      </c>
      <c r="I37" s="10">
        <v>26649</v>
      </c>
      <c r="J37" s="10">
        <v>4072</v>
      </c>
      <c r="K37" s="10">
        <v>10921</v>
      </c>
      <c r="L37" s="10">
        <v>0</v>
      </c>
      <c r="M37" s="10">
        <v>0</v>
      </c>
      <c r="N37" s="10">
        <v>0</v>
      </c>
      <c r="O37" s="10">
        <f aca="true" t="shared" si="10" ref="O37:O68">E37-(SUM(G37:N37))</f>
        <v>16303</v>
      </c>
    </row>
    <row r="38" spans="1:15" s="20" customFormat="1" ht="11.25">
      <c r="A38" s="13" t="s">
        <v>67</v>
      </c>
      <c r="B38" s="19">
        <f>SUM(B31:B37)</f>
        <v>643</v>
      </c>
      <c r="C38" s="15">
        <f t="shared" si="8"/>
        <v>430.4</v>
      </c>
      <c r="D38" s="19">
        <f>SUM(D31:D37)</f>
        <v>3373684</v>
      </c>
      <c r="E38" s="19">
        <f>SUM(E31:E37)</f>
        <v>3321051</v>
      </c>
      <c r="F38" s="28">
        <f t="shared" si="9"/>
        <v>0.984</v>
      </c>
      <c r="G38" s="19">
        <f aca="true" t="shared" si="11" ref="G38:N38">SUM(G31:G37)</f>
        <v>2235972</v>
      </c>
      <c r="H38" s="19">
        <f t="shared" si="11"/>
        <v>193590</v>
      </c>
      <c r="I38" s="19">
        <f t="shared" si="11"/>
        <v>401644</v>
      </c>
      <c r="J38" s="19">
        <f t="shared" si="11"/>
        <v>54928</v>
      </c>
      <c r="K38" s="19">
        <f t="shared" si="11"/>
        <v>203490</v>
      </c>
      <c r="L38" s="19">
        <f t="shared" si="11"/>
        <v>201</v>
      </c>
      <c r="M38" s="19">
        <f t="shared" si="11"/>
        <v>0</v>
      </c>
      <c r="N38" s="19">
        <f t="shared" si="11"/>
        <v>0</v>
      </c>
      <c r="O38" s="19">
        <f t="shared" si="10"/>
        <v>231226</v>
      </c>
    </row>
    <row r="39" spans="1:15" s="20" customFormat="1" ht="11.25">
      <c r="A39" s="9" t="s">
        <v>20</v>
      </c>
      <c r="B39" s="10">
        <v>486</v>
      </c>
      <c r="C39" s="11">
        <f t="shared" si="8"/>
        <v>477.5</v>
      </c>
      <c r="D39" s="10">
        <v>2808346</v>
      </c>
      <c r="E39" s="10">
        <v>2784981</v>
      </c>
      <c r="F39" s="25">
        <f t="shared" si="9"/>
        <v>0.992</v>
      </c>
      <c r="G39" s="10">
        <v>1748021</v>
      </c>
      <c r="H39" s="10">
        <v>137849</v>
      </c>
      <c r="I39" s="10">
        <v>308109</v>
      </c>
      <c r="J39" s="10">
        <v>44281</v>
      </c>
      <c r="K39" s="10">
        <v>138534</v>
      </c>
      <c r="L39" s="10">
        <v>242619</v>
      </c>
      <c r="M39" s="10">
        <v>0</v>
      </c>
      <c r="N39" s="10">
        <v>0</v>
      </c>
      <c r="O39" s="10">
        <f t="shared" si="10"/>
        <v>165568</v>
      </c>
    </row>
    <row r="40" spans="1:15" s="3" customFormat="1" ht="11.25">
      <c r="A40" s="9" t="s">
        <v>26</v>
      </c>
      <c r="B40" s="10">
        <v>373</v>
      </c>
      <c r="C40" s="11">
        <f t="shared" si="8"/>
        <v>323.4</v>
      </c>
      <c r="D40" s="10">
        <v>1449870</v>
      </c>
      <c r="E40" s="10">
        <v>1447652</v>
      </c>
      <c r="F40" s="25">
        <f t="shared" si="9"/>
        <v>0.998</v>
      </c>
      <c r="G40" s="10">
        <v>1004858</v>
      </c>
      <c r="H40" s="10">
        <v>75415</v>
      </c>
      <c r="I40" s="10">
        <v>177630</v>
      </c>
      <c r="J40" s="10">
        <v>24943</v>
      </c>
      <c r="K40" s="10">
        <v>38604</v>
      </c>
      <c r="L40" s="10">
        <v>0</v>
      </c>
      <c r="M40" s="10">
        <v>0</v>
      </c>
      <c r="N40" s="10">
        <v>0</v>
      </c>
      <c r="O40" s="10">
        <f t="shared" si="10"/>
        <v>126202</v>
      </c>
    </row>
    <row r="41" spans="1:15" s="3" customFormat="1" ht="11.25">
      <c r="A41" s="9" t="s">
        <v>59</v>
      </c>
      <c r="B41" s="10">
        <v>607</v>
      </c>
      <c r="C41" s="11">
        <f t="shared" si="8"/>
        <v>485.9</v>
      </c>
      <c r="D41" s="10">
        <f>3571518+8051</f>
        <v>3579569</v>
      </c>
      <c r="E41" s="10">
        <f>3531183+7914</f>
        <v>3539097</v>
      </c>
      <c r="F41" s="25">
        <f t="shared" si="9"/>
        <v>0.989</v>
      </c>
      <c r="G41" s="10">
        <v>2350852</v>
      </c>
      <c r="H41" s="10">
        <v>159170</v>
      </c>
      <c r="I41" s="10">
        <v>415791</v>
      </c>
      <c r="J41" s="10">
        <v>58860</v>
      </c>
      <c r="K41" s="10">
        <v>216420</v>
      </c>
      <c r="L41" s="10">
        <v>33567</v>
      </c>
      <c r="M41" s="10">
        <v>0</v>
      </c>
      <c r="N41" s="10">
        <v>0</v>
      </c>
      <c r="O41" s="10">
        <f t="shared" si="10"/>
        <v>304437</v>
      </c>
    </row>
    <row r="42" spans="1:15" s="3" customFormat="1" ht="11.25">
      <c r="A42" s="9" t="s">
        <v>60</v>
      </c>
      <c r="B42" s="10">
        <v>630</v>
      </c>
      <c r="C42" s="11">
        <f t="shared" si="8"/>
        <v>472.7</v>
      </c>
      <c r="D42" s="10">
        <v>3620586</v>
      </c>
      <c r="E42" s="10">
        <v>3573773</v>
      </c>
      <c r="F42" s="25">
        <f t="shared" si="9"/>
        <v>0.987</v>
      </c>
      <c r="G42" s="10">
        <v>2360269</v>
      </c>
      <c r="H42" s="10">
        <v>176299</v>
      </c>
      <c r="I42" s="10">
        <v>418145</v>
      </c>
      <c r="J42" s="10">
        <v>58502</v>
      </c>
      <c r="K42" s="10">
        <v>97779</v>
      </c>
      <c r="L42" s="10">
        <v>192192</v>
      </c>
      <c r="M42" s="10">
        <v>0</v>
      </c>
      <c r="N42" s="10">
        <v>0</v>
      </c>
      <c r="O42" s="10">
        <f t="shared" si="10"/>
        <v>270587</v>
      </c>
    </row>
    <row r="43" spans="1:15" s="20" customFormat="1" ht="11.25">
      <c r="A43" s="9" t="s">
        <v>27</v>
      </c>
      <c r="B43" s="21">
        <v>389</v>
      </c>
      <c r="C43" s="11">
        <f t="shared" si="8"/>
        <v>532.1</v>
      </c>
      <c r="D43" s="10">
        <f>2469359+19041</f>
        <v>2488400</v>
      </c>
      <c r="E43" s="10">
        <f>2466039+17712</f>
        <v>2483751</v>
      </c>
      <c r="F43" s="25">
        <f t="shared" si="9"/>
        <v>0.998</v>
      </c>
      <c r="G43" s="10">
        <v>1519871</v>
      </c>
      <c r="H43" s="10">
        <v>111014</v>
      </c>
      <c r="I43" s="10">
        <v>262736</v>
      </c>
      <c r="J43" s="10">
        <v>35951</v>
      </c>
      <c r="K43" s="10">
        <v>202382</v>
      </c>
      <c r="L43" s="10">
        <v>161820</v>
      </c>
      <c r="M43" s="10">
        <v>0</v>
      </c>
      <c r="N43" s="10">
        <v>0</v>
      </c>
      <c r="O43" s="10">
        <f t="shared" si="10"/>
        <v>189977</v>
      </c>
    </row>
    <row r="44" spans="1:15" s="3" customFormat="1" ht="11.25">
      <c r="A44" s="9" t="s">
        <v>63</v>
      </c>
      <c r="B44" s="10">
        <v>139</v>
      </c>
      <c r="C44" s="11">
        <f t="shared" si="8"/>
        <v>856.5</v>
      </c>
      <c r="D44" s="10">
        <v>1431188</v>
      </c>
      <c r="E44" s="10">
        <v>1428709</v>
      </c>
      <c r="F44" s="25">
        <f t="shared" si="9"/>
        <v>0.998</v>
      </c>
      <c r="G44" s="10">
        <v>999509</v>
      </c>
      <c r="H44" s="10">
        <v>79540</v>
      </c>
      <c r="I44" s="10">
        <v>182441</v>
      </c>
      <c r="J44" s="10">
        <v>25213</v>
      </c>
      <c r="K44" s="10">
        <v>21000</v>
      </c>
      <c r="L44" s="10">
        <v>3000</v>
      </c>
      <c r="M44" s="10">
        <v>0</v>
      </c>
      <c r="N44" s="10">
        <v>0</v>
      </c>
      <c r="O44" s="10">
        <f t="shared" si="10"/>
        <v>118006</v>
      </c>
    </row>
    <row r="45" spans="1:15" s="3" customFormat="1" ht="11.25">
      <c r="A45" s="9" t="s">
        <v>28</v>
      </c>
      <c r="B45" s="10">
        <v>471</v>
      </c>
      <c r="C45" s="11">
        <f t="shared" si="8"/>
        <v>383.4</v>
      </c>
      <c r="D45" s="10">
        <v>2170866</v>
      </c>
      <c r="E45" s="10">
        <v>2166926</v>
      </c>
      <c r="F45" s="25">
        <f t="shared" si="9"/>
        <v>0.998</v>
      </c>
      <c r="G45" s="10">
        <v>1471162</v>
      </c>
      <c r="H45" s="10">
        <v>105918</v>
      </c>
      <c r="I45" s="10">
        <v>259631</v>
      </c>
      <c r="J45" s="10">
        <v>36090</v>
      </c>
      <c r="K45" s="10">
        <v>138548</v>
      </c>
      <c r="L45" s="10">
        <v>390</v>
      </c>
      <c r="M45" s="10">
        <v>0</v>
      </c>
      <c r="N45" s="10">
        <v>0</v>
      </c>
      <c r="O45" s="10">
        <f t="shared" si="10"/>
        <v>155187</v>
      </c>
    </row>
    <row r="46" spans="1:15" s="3" customFormat="1" ht="11.25">
      <c r="A46" s="9" t="s">
        <v>29</v>
      </c>
      <c r="B46" s="10">
        <v>216</v>
      </c>
      <c r="C46" s="11">
        <f t="shared" si="8"/>
        <v>499.2</v>
      </c>
      <c r="D46" s="10">
        <v>1337153</v>
      </c>
      <c r="E46" s="10">
        <v>1293977</v>
      </c>
      <c r="F46" s="25">
        <f t="shared" si="9"/>
        <v>0.968</v>
      </c>
      <c r="G46" s="10">
        <v>847022</v>
      </c>
      <c r="H46" s="10">
        <v>67621</v>
      </c>
      <c r="I46" s="10">
        <v>154094</v>
      </c>
      <c r="J46" s="10">
        <v>21387</v>
      </c>
      <c r="K46" s="10">
        <v>53422</v>
      </c>
      <c r="L46" s="10">
        <v>65995</v>
      </c>
      <c r="M46" s="10">
        <v>0</v>
      </c>
      <c r="N46" s="10">
        <v>0</v>
      </c>
      <c r="O46" s="10">
        <f t="shared" si="10"/>
        <v>84436</v>
      </c>
    </row>
    <row r="47" spans="1:15" s="3" customFormat="1" ht="11.25">
      <c r="A47" s="9" t="s">
        <v>30</v>
      </c>
      <c r="B47" s="10">
        <v>413</v>
      </c>
      <c r="C47" s="11">
        <f t="shared" si="8"/>
        <v>496.7</v>
      </c>
      <c r="D47" s="10">
        <v>2499763</v>
      </c>
      <c r="E47" s="10">
        <v>2461534</v>
      </c>
      <c r="F47" s="25">
        <f t="shared" si="9"/>
        <v>0.985</v>
      </c>
      <c r="G47" s="10">
        <v>1588582</v>
      </c>
      <c r="H47" s="10">
        <v>118338</v>
      </c>
      <c r="I47" s="10">
        <v>248972</v>
      </c>
      <c r="J47" s="10">
        <v>37145</v>
      </c>
      <c r="K47" s="10">
        <v>137610</v>
      </c>
      <c r="L47" s="10">
        <v>120000</v>
      </c>
      <c r="M47" s="10">
        <v>0</v>
      </c>
      <c r="N47" s="10">
        <v>0</v>
      </c>
      <c r="O47" s="10">
        <f t="shared" si="10"/>
        <v>210887</v>
      </c>
    </row>
    <row r="48" spans="1:15" s="3" customFormat="1" ht="11.25">
      <c r="A48" s="9" t="s">
        <v>23</v>
      </c>
      <c r="B48" s="10">
        <v>152</v>
      </c>
      <c r="C48" s="11">
        <f t="shared" si="8"/>
        <v>317.3</v>
      </c>
      <c r="D48" s="10">
        <v>586362</v>
      </c>
      <c r="E48" s="10">
        <v>578778</v>
      </c>
      <c r="F48" s="25">
        <f t="shared" si="9"/>
        <v>0.987</v>
      </c>
      <c r="G48" s="10">
        <v>395827</v>
      </c>
      <c r="H48" s="10">
        <v>35829</v>
      </c>
      <c r="I48" s="10">
        <v>70137</v>
      </c>
      <c r="J48" s="10">
        <v>10183</v>
      </c>
      <c r="K48" s="10">
        <v>17876</v>
      </c>
      <c r="L48" s="10">
        <v>0</v>
      </c>
      <c r="M48" s="10">
        <v>0</v>
      </c>
      <c r="N48" s="10">
        <v>0</v>
      </c>
      <c r="O48" s="10">
        <f t="shared" si="10"/>
        <v>48926</v>
      </c>
    </row>
    <row r="49" spans="1:15" s="3" customFormat="1" ht="11.25">
      <c r="A49" s="9" t="s">
        <v>62</v>
      </c>
      <c r="B49" s="10">
        <v>446</v>
      </c>
      <c r="C49" s="11">
        <f t="shared" si="8"/>
        <v>406</v>
      </c>
      <c r="D49" s="10">
        <v>2200797</v>
      </c>
      <c r="E49" s="10">
        <v>2172864</v>
      </c>
      <c r="F49" s="25">
        <f t="shared" si="9"/>
        <v>0.987</v>
      </c>
      <c r="G49" s="10">
        <v>1449922</v>
      </c>
      <c r="H49" s="10">
        <v>102606</v>
      </c>
      <c r="I49" s="10">
        <v>252730</v>
      </c>
      <c r="J49" s="10">
        <v>36354</v>
      </c>
      <c r="K49" s="10">
        <v>71652</v>
      </c>
      <c r="L49" s="10">
        <v>100949</v>
      </c>
      <c r="M49" s="10">
        <v>0</v>
      </c>
      <c r="N49" s="10">
        <v>0</v>
      </c>
      <c r="O49" s="10">
        <f t="shared" si="10"/>
        <v>158651</v>
      </c>
    </row>
    <row r="50" spans="1:15" s="3" customFormat="1" ht="11.25">
      <c r="A50" s="13" t="s">
        <v>65</v>
      </c>
      <c r="B50" s="14">
        <f>SUM(B39:B49)</f>
        <v>4322</v>
      </c>
      <c r="C50" s="15">
        <f t="shared" si="8"/>
        <v>461.4</v>
      </c>
      <c r="D50" s="14">
        <f>SUM(D39:D49)</f>
        <v>24172900</v>
      </c>
      <c r="E50" s="14">
        <f>SUM(E39:E49)</f>
        <v>23932042</v>
      </c>
      <c r="F50" s="26">
        <f t="shared" si="9"/>
        <v>0.99</v>
      </c>
      <c r="G50" s="14">
        <f aca="true" t="shared" si="12" ref="G50:N50">SUM(G39:G49)</f>
        <v>15735895</v>
      </c>
      <c r="H50" s="14">
        <f t="shared" si="12"/>
        <v>1169599</v>
      </c>
      <c r="I50" s="14">
        <f t="shared" si="12"/>
        <v>2750416</v>
      </c>
      <c r="J50" s="14">
        <f t="shared" si="12"/>
        <v>388909</v>
      </c>
      <c r="K50" s="14">
        <f t="shared" si="12"/>
        <v>1133827</v>
      </c>
      <c r="L50" s="14">
        <f t="shared" si="12"/>
        <v>920532</v>
      </c>
      <c r="M50" s="14">
        <f t="shared" si="12"/>
        <v>0</v>
      </c>
      <c r="N50" s="14">
        <f t="shared" si="12"/>
        <v>0</v>
      </c>
      <c r="O50" s="14">
        <f t="shared" si="10"/>
        <v>1832864</v>
      </c>
    </row>
    <row r="51" spans="1:15" s="3" customFormat="1" ht="11.25">
      <c r="A51" s="13" t="s">
        <v>66</v>
      </c>
      <c r="B51" s="14">
        <v>268</v>
      </c>
      <c r="C51" s="15">
        <f t="shared" si="8"/>
        <v>656.3</v>
      </c>
      <c r="D51" s="14">
        <v>2115382</v>
      </c>
      <c r="E51" s="14">
        <v>2110638</v>
      </c>
      <c r="F51" s="26">
        <f t="shared" si="9"/>
        <v>0.998</v>
      </c>
      <c r="G51" s="14">
        <v>1464144</v>
      </c>
      <c r="H51" s="14">
        <v>99604</v>
      </c>
      <c r="I51" s="14">
        <v>254009</v>
      </c>
      <c r="J51" s="14">
        <v>35763</v>
      </c>
      <c r="K51" s="14">
        <v>48558</v>
      </c>
      <c r="L51" s="14">
        <v>60591</v>
      </c>
      <c r="M51" s="14">
        <v>0</v>
      </c>
      <c r="N51" s="14">
        <v>0</v>
      </c>
      <c r="O51" s="14">
        <f t="shared" si="10"/>
        <v>147969</v>
      </c>
    </row>
    <row r="52" spans="1:15" s="22" customFormat="1" ht="11.25">
      <c r="A52" s="16" t="s">
        <v>78</v>
      </c>
      <c r="B52" s="21">
        <v>33</v>
      </c>
      <c r="C52" s="11">
        <f t="shared" si="8"/>
        <v>1609.2</v>
      </c>
      <c r="D52" s="10">
        <v>648807</v>
      </c>
      <c r="E52" s="10">
        <v>637228</v>
      </c>
      <c r="F52" s="25">
        <f t="shared" si="9"/>
        <v>0.982</v>
      </c>
      <c r="G52" s="10">
        <v>464982</v>
      </c>
      <c r="H52" s="10">
        <v>30920</v>
      </c>
      <c r="I52" s="10">
        <v>83288</v>
      </c>
      <c r="J52" s="10">
        <v>11756</v>
      </c>
      <c r="K52" s="10">
        <v>0</v>
      </c>
      <c r="L52" s="10">
        <v>0</v>
      </c>
      <c r="M52" s="10">
        <v>5933</v>
      </c>
      <c r="N52" s="10">
        <v>0</v>
      </c>
      <c r="O52" s="10">
        <f t="shared" si="10"/>
        <v>40349</v>
      </c>
    </row>
    <row r="53" spans="1:15" s="20" customFormat="1" ht="11.25">
      <c r="A53" s="16" t="s">
        <v>79</v>
      </c>
      <c r="B53" s="21">
        <v>32</v>
      </c>
      <c r="C53" s="11">
        <f t="shared" si="8"/>
        <v>1523.2</v>
      </c>
      <c r="D53" s="10">
        <v>587294</v>
      </c>
      <c r="E53" s="10">
        <v>584910</v>
      </c>
      <c r="F53" s="25">
        <f t="shared" si="9"/>
        <v>0.996</v>
      </c>
      <c r="G53" s="10">
        <v>451497</v>
      </c>
      <c r="H53" s="10">
        <v>22533</v>
      </c>
      <c r="I53" s="10">
        <v>75432</v>
      </c>
      <c r="J53" s="10">
        <v>10450</v>
      </c>
      <c r="K53" s="10">
        <v>516</v>
      </c>
      <c r="L53" s="10">
        <v>0</v>
      </c>
      <c r="M53" s="10">
        <v>0</v>
      </c>
      <c r="N53" s="10">
        <v>0</v>
      </c>
      <c r="O53" s="10">
        <f t="shared" si="10"/>
        <v>24482</v>
      </c>
    </row>
    <row r="54" spans="1:15" s="20" customFormat="1" ht="11.25">
      <c r="A54" s="16" t="s">
        <v>80</v>
      </c>
      <c r="B54" s="21">
        <v>47</v>
      </c>
      <c r="C54" s="11">
        <f t="shared" si="8"/>
        <v>1830.4</v>
      </c>
      <c r="D54" s="10">
        <v>1039861</v>
      </c>
      <c r="E54" s="10">
        <v>1032330</v>
      </c>
      <c r="F54" s="25">
        <f t="shared" si="9"/>
        <v>0.993</v>
      </c>
      <c r="G54" s="10">
        <v>738018</v>
      </c>
      <c r="H54" s="10">
        <v>56669</v>
      </c>
      <c r="I54" s="10">
        <v>131693</v>
      </c>
      <c r="J54" s="10">
        <v>18500</v>
      </c>
      <c r="K54" s="10">
        <v>44055</v>
      </c>
      <c r="L54" s="10">
        <v>0</v>
      </c>
      <c r="M54" s="10">
        <v>0</v>
      </c>
      <c r="N54" s="10">
        <v>0</v>
      </c>
      <c r="O54" s="10">
        <f t="shared" si="10"/>
        <v>43395</v>
      </c>
    </row>
    <row r="55" spans="1:15" s="20" customFormat="1" ht="11.25">
      <c r="A55" s="13" t="s">
        <v>81</v>
      </c>
      <c r="B55" s="14">
        <f>SUM(B52:B54)</f>
        <v>112</v>
      </c>
      <c r="C55" s="15">
        <f t="shared" si="8"/>
        <v>1677.4</v>
      </c>
      <c r="D55" s="14">
        <f>SUM(D52:D54)</f>
        <v>2275962</v>
      </c>
      <c r="E55" s="14">
        <f>SUM(E52:E54)</f>
        <v>2254468</v>
      </c>
      <c r="F55" s="26">
        <f t="shared" si="9"/>
        <v>0.991</v>
      </c>
      <c r="G55" s="14">
        <f aca="true" t="shared" si="13" ref="G55:N55">SUM(G52:G54)</f>
        <v>1654497</v>
      </c>
      <c r="H55" s="14">
        <f t="shared" si="13"/>
        <v>110122</v>
      </c>
      <c r="I55" s="14">
        <f t="shared" si="13"/>
        <v>290413</v>
      </c>
      <c r="J55" s="14">
        <f t="shared" si="13"/>
        <v>40706</v>
      </c>
      <c r="K55" s="14">
        <f t="shared" si="13"/>
        <v>44571</v>
      </c>
      <c r="L55" s="14">
        <f t="shared" si="13"/>
        <v>0</v>
      </c>
      <c r="M55" s="14">
        <f t="shared" si="13"/>
        <v>5933</v>
      </c>
      <c r="N55" s="14">
        <f t="shared" si="13"/>
        <v>0</v>
      </c>
      <c r="O55" s="14">
        <f t="shared" si="10"/>
        <v>108226</v>
      </c>
    </row>
    <row r="56" spans="1:15" s="20" customFormat="1" ht="21.75">
      <c r="A56" s="17" t="s">
        <v>82</v>
      </c>
      <c r="B56" s="19">
        <v>33</v>
      </c>
      <c r="C56" s="15">
        <f t="shared" si="8"/>
        <v>250.7</v>
      </c>
      <c r="D56" s="14">
        <v>99288</v>
      </c>
      <c r="E56" s="14">
        <v>99267</v>
      </c>
      <c r="F56" s="26">
        <f t="shared" si="9"/>
        <v>1</v>
      </c>
      <c r="G56" s="14">
        <v>58998</v>
      </c>
      <c r="H56" s="14">
        <v>0</v>
      </c>
      <c r="I56" s="14">
        <v>10206</v>
      </c>
      <c r="J56" s="14">
        <v>1440</v>
      </c>
      <c r="K56" s="14">
        <v>21000</v>
      </c>
      <c r="L56" s="14">
        <v>0</v>
      </c>
      <c r="M56" s="14">
        <v>0</v>
      </c>
      <c r="N56" s="14">
        <v>0</v>
      </c>
      <c r="O56" s="14">
        <f t="shared" si="10"/>
        <v>7623</v>
      </c>
    </row>
    <row r="57" spans="1:15" s="20" customFormat="1" ht="21.75">
      <c r="A57" s="17" t="s">
        <v>83</v>
      </c>
      <c r="B57" s="14">
        <v>0</v>
      </c>
      <c r="C57" s="15"/>
      <c r="D57" s="14">
        <v>564953</v>
      </c>
      <c r="E57" s="14">
        <v>544656</v>
      </c>
      <c r="F57" s="26">
        <f t="shared" si="9"/>
        <v>0.964</v>
      </c>
      <c r="G57" s="14">
        <v>338879</v>
      </c>
      <c r="H57" s="14">
        <v>25225</v>
      </c>
      <c r="I57" s="14">
        <v>62204</v>
      </c>
      <c r="J57" s="14">
        <v>8801</v>
      </c>
      <c r="K57" s="14">
        <v>3575</v>
      </c>
      <c r="L57" s="14">
        <v>1640</v>
      </c>
      <c r="M57" s="14">
        <v>0</v>
      </c>
      <c r="N57" s="14">
        <v>0</v>
      </c>
      <c r="O57" s="14">
        <f t="shared" si="10"/>
        <v>104332</v>
      </c>
    </row>
    <row r="58" spans="1:15" s="20" customFormat="1" ht="21.75">
      <c r="A58" s="17" t="s">
        <v>84</v>
      </c>
      <c r="B58" s="19">
        <v>100</v>
      </c>
      <c r="C58" s="15">
        <f>E58/B58/12</f>
        <v>193.8</v>
      </c>
      <c r="D58" s="19">
        <v>235421</v>
      </c>
      <c r="E58" s="19">
        <v>232598</v>
      </c>
      <c r="F58" s="28">
        <f t="shared" si="9"/>
        <v>0.988</v>
      </c>
      <c r="G58" s="19">
        <v>184308</v>
      </c>
      <c r="H58" s="19">
        <v>8846</v>
      </c>
      <c r="I58" s="19">
        <v>29813</v>
      </c>
      <c r="J58" s="19">
        <v>4192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0"/>
        <v>5439</v>
      </c>
    </row>
    <row r="59" spans="1:15" s="20" customFormat="1" ht="11.25">
      <c r="A59" s="16" t="s">
        <v>31</v>
      </c>
      <c r="B59" s="10">
        <v>20</v>
      </c>
      <c r="C59" s="11">
        <f>E59/B59/12</f>
        <v>2842.6</v>
      </c>
      <c r="D59" s="10">
        <v>686257</v>
      </c>
      <c r="E59" s="10">
        <v>682216</v>
      </c>
      <c r="F59" s="25">
        <f t="shared" si="9"/>
        <v>0.994</v>
      </c>
      <c r="G59" s="10">
        <v>396648</v>
      </c>
      <c r="H59" s="10">
        <v>28027</v>
      </c>
      <c r="I59" s="10">
        <v>73399</v>
      </c>
      <c r="J59" s="10">
        <v>10174</v>
      </c>
      <c r="K59" s="10">
        <v>65373</v>
      </c>
      <c r="L59" s="10">
        <v>12982</v>
      </c>
      <c r="M59" s="10">
        <v>0</v>
      </c>
      <c r="N59" s="10">
        <v>0</v>
      </c>
      <c r="O59" s="10">
        <f t="shared" si="10"/>
        <v>95613</v>
      </c>
    </row>
    <row r="60" spans="1:15" ht="11.25">
      <c r="A60" s="16" t="s">
        <v>32</v>
      </c>
      <c r="B60" s="10">
        <v>10</v>
      </c>
      <c r="C60" s="11">
        <f>E60/B60/12</f>
        <v>5655.6</v>
      </c>
      <c r="D60" s="10">
        <v>693209</v>
      </c>
      <c r="E60" s="10">
        <v>678675</v>
      </c>
      <c r="F60" s="25">
        <f t="shared" si="9"/>
        <v>0.979</v>
      </c>
      <c r="G60" s="10">
        <v>329417</v>
      </c>
      <c r="H60" s="10">
        <v>29070</v>
      </c>
      <c r="I60" s="10">
        <v>60419</v>
      </c>
      <c r="J60" s="10">
        <v>8488</v>
      </c>
      <c r="K60" s="10">
        <v>74015</v>
      </c>
      <c r="L60" s="10">
        <v>100554</v>
      </c>
      <c r="M60" s="10">
        <v>0</v>
      </c>
      <c r="N60" s="10">
        <v>3724</v>
      </c>
      <c r="O60" s="10">
        <f t="shared" si="10"/>
        <v>72988</v>
      </c>
    </row>
    <row r="61" spans="1:15" ht="11.25">
      <c r="A61" s="13" t="s">
        <v>33</v>
      </c>
      <c r="B61" s="14">
        <f>B59+B60</f>
        <v>30</v>
      </c>
      <c r="C61" s="15">
        <f>E61/B61/12</f>
        <v>3780.3</v>
      </c>
      <c r="D61" s="14">
        <f>D59+D60</f>
        <v>1379466</v>
      </c>
      <c r="E61" s="14">
        <f>E59+E60</f>
        <v>1360891</v>
      </c>
      <c r="F61" s="26">
        <f t="shared" si="9"/>
        <v>0.987</v>
      </c>
      <c r="G61" s="14">
        <f aca="true" t="shared" si="14" ref="G61:N61">G59+G60</f>
        <v>726065</v>
      </c>
      <c r="H61" s="14">
        <f t="shared" si="14"/>
        <v>57097</v>
      </c>
      <c r="I61" s="14">
        <f t="shared" si="14"/>
        <v>133818</v>
      </c>
      <c r="J61" s="14">
        <f t="shared" si="14"/>
        <v>18662</v>
      </c>
      <c r="K61" s="14">
        <f t="shared" si="14"/>
        <v>139388</v>
      </c>
      <c r="L61" s="14">
        <f t="shared" si="14"/>
        <v>113536</v>
      </c>
      <c r="M61" s="14">
        <f t="shared" si="14"/>
        <v>0</v>
      </c>
      <c r="N61" s="14">
        <f t="shared" si="14"/>
        <v>3724</v>
      </c>
      <c r="O61" s="14">
        <f t="shared" si="10"/>
        <v>168601</v>
      </c>
    </row>
    <row r="62" spans="1:15" ht="11.25">
      <c r="A62" s="16" t="s">
        <v>34</v>
      </c>
      <c r="B62" s="10">
        <v>4534</v>
      </c>
      <c r="C62" s="11">
        <f>E62/B62</f>
        <v>233</v>
      </c>
      <c r="D62" s="10">
        <v>1059095</v>
      </c>
      <c r="E62" s="10">
        <v>1056604</v>
      </c>
      <c r="F62" s="25">
        <f t="shared" si="9"/>
        <v>0.998</v>
      </c>
      <c r="G62" s="10">
        <v>739652</v>
      </c>
      <c r="H62" s="10">
        <v>54483</v>
      </c>
      <c r="I62" s="10">
        <v>131896</v>
      </c>
      <c r="J62" s="10">
        <v>18792</v>
      </c>
      <c r="K62" s="10">
        <v>10202</v>
      </c>
      <c r="L62" s="10">
        <v>619</v>
      </c>
      <c r="M62" s="10">
        <v>0</v>
      </c>
      <c r="N62" s="10">
        <v>0</v>
      </c>
      <c r="O62" s="10">
        <f t="shared" si="10"/>
        <v>100960</v>
      </c>
    </row>
    <row r="63" spans="1:15" ht="11.25">
      <c r="A63" s="16" t="s">
        <v>35</v>
      </c>
      <c r="B63" s="10">
        <v>7926</v>
      </c>
      <c r="C63" s="11">
        <f>E63/B63</f>
        <v>128.5</v>
      </c>
      <c r="D63" s="10">
        <v>1036300</v>
      </c>
      <c r="E63" s="10">
        <v>1018238</v>
      </c>
      <c r="F63" s="25">
        <f t="shared" si="9"/>
        <v>0.983</v>
      </c>
      <c r="G63" s="10">
        <v>690137</v>
      </c>
      <c r="H63" s="10">
        <v>54617</v>
      </c>
      <c r="I63" s="10">
        <v>127776</v>
      </c>
      <c r="J63" s="10">
        <v>17807</v>
      </c>
      <c r="K63" s="10">
        <v>24303</v>
      </c>
      <c r="L63" s="10">
        <v>1562</v>
      </c>
      <c r="M63" s="10">
        <v>0</v>
      </c>
      <c r="N63" s="10">
        <v>0</v>
      </c>
      <c r="O63" s="10">
        <f t="shared" si="10"/>
        <v>102036</v>
      </c>
    </row>
    <row r="64" spans="1:15" ht="11.25">
      <c r="A64" s="16" t="s">
        <v>36</v>
      </c>
      <c r="B64" s="10">
        <v>5497</v>
      </c>
      <c r="C64" s="11">
        <f>E64/B64</f>
        <v>166</v>
      </c>
      <c r="D64" s="10">
        <v>913442</v>
      </c>
      <c r="E64" s="10">
        <v>912332</v>
      </c>
      <c r="F64" s="25">
        <f t="shared" si="9"/>
        <v>0.999</v>
      </c>
      <c r="G64" s="10">
        <v>636881</v>
      </c>
      <c r="H64" s="10">
        <v>42470</v>
      </c>
      <c r="I64" s="10">
        <v>115075</v>
      </c>
      <c r="J64" s="10">
        <v>16217</v>
      </c>
      <c r="K64" s="10">
        <v>9345</v>
      </c>
      <c r="L64" s="10">
        <v>189</v>
      </c>
      <c r="M64" s="10">
        <v>0</v>
      </c>
      <c r="N64" s="10">
        <v>0</v>
      </c>
      <c r="O64" s="10">
        <f t="shared" si="10"/>
        <v>92155</v>
      </c>
    </row>
    <row r="65" spans="1:15" ht="11.25">
      <c r="A65" s="13" t="s">
        <v>37</v>
      </c>
      <c r="B65" s="14">
        <f>SUM(B62:B64)</f>
        <v>17957</v>
      </c>
      <c r="C65" s="15">
        <f>E65/B65/12</f>
        <v>13.9</v>
      </c>
      <c r="D65" s="14">
        <f>SUM(D62:D64)</f>
        <v>3008837</v>
      </c>
      <c r="E65" s="14">
        <f>SUM(E62:E64)</f>
        <v>2987174</v>
      </c>
      <c r="F65" s="26">
        <f t="shared" si="9"/>
        <v>0.993</v>
      </c>
      <c r="G65" s="14">
        <f aca="true" t="shared" si="15" ref="G65:N65">SUM(G62:G64)</f>
        <v>2066670</v>
      </c>
      <c r="H65" s="14">
        <f t="shared" si="15"/>
        <v>151570</v>
      </c>
      <c r="I65" s="14">
        <f t="shared" si="15"/>
        <v>374747</v>
      </c>
      <c r="J65" s="14">
        <f t="shared" si="15"/>
        <v>52816</v>
      </c>
      <c r="K65" s="14">
        <f t="shared" si="15"/>
        <v>43850</v>
      </c>
      <c r="L65" s="14">
        <f t="shared" si="15"/>
        <v>2370</v>
      </c>
      <c r="M65" s="14">
        <f t="shared" si="15"/>
        <v>0</v>
      </c>
      <c r="N65" s="14">
        <f t="shared" si="15"/>
        <v>0</v>
      </c>
      <c r="O65" s="14">
        <f t="shared" si="10"/>
        <v>295151</v>
      </c>
    </row>
    <row r="66" spans="1:15" s="3" customFormat="1" ht="11.25">
      <c r="A66" s="13" t="s">
        <v>85</v>
      </c>
      <c r="B66" s="14"/>
      <c r="C66" s="15">
        <v>764</v>
      </c>
      <c r="D66" s="14">
        <v>1053062</v>
      </c>
      <c r="E66" s="14">
        <v>1023668</v>
      </c>
      <c r="F66" s="26">
        <f t="shared" si="9"/>
        <v>0.972</v>
      </c>
      <c r="G66" s="14">
        <v>676533</v>
      </c>
      <c r="H66" s="14">
        <v>48759</v>
      </c>
      <c r="I66" s="14">
        <v>122817</v>
      </c>
      <c r="J66" s="14">
        <v>17265</v>
      </c>
      <c r="K66" s="14">
        <v>41210</v>
      </c>
      <c r="L66" s="14">
        <v>0</v>
      </c>
      <c r="M66" s="14">
        <v>0</v>
      </c>
      <c r="N66" s="14">
        <v>0</v>
      </c>
      <c r="O66" s="14">
        <f t="shared" si="10"/>
        <v>117084</v>
      </c>
    </row>
    <row r="67" spans="1:15" ht="11.25">
      <c r="A67" s="16" t="s">
        <v>3</v>
      </c>
      <c r="B67" s="10">
        <v>130</v>
      </c>
      <c r="C67" s="11">
        <f>E67/B67/12</f>
        <v>519.7</v>
      </c>
      <c r="D67" s="10">
        <v>836251</v>
      </c>
      <c r="E67" s="10">
        <v>810690</v>
      </c>
      <c r="F67" s="25">
        <f t="shared" si="9"/>
        <v>0.969</v>
      </c>
      <c r="G67" s="10">
        <v>480566</v>
      </c>
      <c r="H67" s="10">
        <v>33416</v>
      </c>
      <c r="I67" s="10">
        <v>81719</v>
      </c>
      <c r="J67" s="10">
        <v>11568</v>
      </c>
      <c r="K67" s="10">
        <v>151242</v>
      </c>
      <c r="L67" s="10">
        <v>0</v>
      </c>
      <c r="M67" s="10">
        <v>0</v>
      </c>
      <c r="N67" s="10">
        <v>0</v>
      </c>
      <c r="O67" s="10">
        <f t="shared" si="10"/>
        <v>52179</v>
      </c>
    </row>
    <row r="68" spans="1:15" ht="11.25">
      <c r="A68" s="16" t="s">
        <v>26</v>
      </c>
      <c r="B68" s="10">
        <v>83</v>
      </c>
      <c r="C68" s="11">
        <f>E68/B68/12</f>
        <v>730.8</v>
      </c>
      <c r="D68" s="10">
        <v>742120</v>
      </c>
      <c r="E68" s="10">
        <v>727925</v>
      </c>
      <c r="F68" s="25">
        <f t="shared" si="9"/>
        <v>0.981</v>
      </c>
      <c r="G68" s="10">
        <v>465241</v>
      </c>
      <c r="H68" s="10">
        <v>32112</v>
      </c>
      <c r="I68" s="10">
        <v>80125</v>
      </c>
      <c r="J68" s="10">
        <v>11313</v>
      </c>
      <c r="K68" s="10">
        <v>109912</v>
      </c>
      <c r="L68" s="10">
        <v>0</v>
      </c>
      <c r="M68" s="10">
        <v>0</v>
      </c>
      <c r="N68" s="10">
        <v>0</v>
      </c>
      <c r="O68" s="10">
        <f t="shared" si="10"/>
        <v>29222</v>
      </c>
    </row>
    <row r="69" spans="1:15" ht="11.25">
      <c r="A69" s="13" t="s">
        <v>38</v>
      </c>
      <c r="B69" s="14">
        <f>SUM(B67:B68)</f>
        <v>213</v>
      </c>
      <c r="C69" s="15">
        <f>E69/B69/12</f>
        <v>602</v>
      </c>
      <c r="D69" s="14">
        <f>SUM(D67:D68)</f>
        <v>1578371</v>
      </c>
      <c r="E69" s="14">
        <f>SUM(E67:E68)</f>
        <v>1538615</v>
      </c>
      <c r="F69" s="26">
        <f>E69/D69</f>
        <v>0.975</v>
      </c>
      <c r="G69" s="14">
        <f aca="true" t="shared" si="16" ref="G69:N69">SUM(G67:G68)</f>
        <v>945807</v>
      </c>
      <c r="H69" s="14">
        <f t="shared" si="16"/>
        <v>65528</v>
      </c>
      <c r="I69" s="14">
        <f t="shared" si="16"/>
        <v>161844</v>
      </c>
      <c r="J69" s="14">
        <f t="shared" si="16"/>
        <v>22881</v>
      </c>
      <c r="K69" s="14">
        <f t="shared" si="16"/>
        <v>261154</v>
      </c>
      <c r="L69" s="14">
        <f t="shared" si="16"/>
        <v>0</v>
      </c>
      <c r="M69" s="14">
        <f t="shared" si="16"/>
        <v>0</v>
      </c>
      <c r="N69" s="14">
        <f t="shared" si="16"/>
        <v>0</v>
      </c>
      <c r="O69" s="14">
        <f>E69-(SUM(G69:N69))</f>
        <v>81401</v>
      </c>
    </row>
    <row r="70" spans="1:15" ht="21.75">
      <c r="A70" s="17" t="s">
        <v>86</v>
      </c>
      <c r="B70" s="14"/>
      <c r="C70" s="15"/>
      <c r="D70" s="14">
        <v>354461</v>
      </c>
      <c r="E70" s="14">
        <v>343270</v>
      </c>
      <c r="F70" s="26">
        <f>E70/D70</f>
        <v>0.968</v>
      </c>
      <c r="G70" s="14">
        <v>266503</v>
      </c>
      <c r="H70" s="14">
        <v>21045</v>
      </c>
      <c r="I70" s="14">
        <v>38798</v>
      </c>
      <c r="J70" s="14">
        <v>6136</v>
      </c>
      <c r="K70" s="14">
        <v>0</v>
      </c>
      <c r="L70" s="14">
        <v>0</v>
      </c>
      <c r="M70" s="14">
        <v>0</v>
      </c>
      <c r="N70" s="14">
        <v>0</v>
      </c>
      <c r="O70" s="14">
        <f>E70-(SUM(G70:N70))</f>
        <v>10788</v>
      </c>
    </row>
    <row r="71" spans="1:15" s="32" customFormat="1" ht="11.25">
      <c r="A71" s="30" t="s">
        <v>11</v>
      </c>
      <c r="B71" s="31">
        <f>B8+B12+B27+B30+B38+B50+B51+B55+B56+B57+B58+B61+B65+B66+B69+B70</f>
        <v>30090</v>
      </c>
      <c r="C71" s="31"/>
      <c r="D71" s="31">
        <f>D8+D12+D27+D30+D38+D50+D51+D55+D56+D57+D58+D61+D65+D66+D69+D70</f>
        <v>78988360</v>
      </c>
      <c r="E71" s="31">
        <f>E8+E12+E27+E30+E38+E50+E51+E55+E56+E57+E58+E61+E65+E66+E69+E70</f>
        <v>78080076</v>
      </c>
      <c r="F71" s="29">
        <f>E71/D71</f>
        <v>0.989</v>
      </c>
      <c r="G71" s="31">
        <f aca="true" t="shared" si="17" ref="G71:N71">G8+G12+G27+G30+G38+G50+G51+G55+G56+G57+G58+G61+G65+G66+G69+G70</f>
        <v>52358924</v>
      </c>
      <c r="H71" s="31">
        <f t="shared" si="17"/>
        <v>3868112</v>
      </c>
      <c r="I71" s="31">
        <f t="shared" si="17"/>
        <v>9087194</v>
      </c>
      <c r="J71" s="31">
        <f t="shared" si="17"/>
        <v>1298699</v>
      </c>
      <c r="K71" s="31">
        <f t="shared" si="17"/>
        <v>3253990</v>
      </c>
      <c r="L71" s="31">
        <f t="shared" si="17"/>
        <v>2042327</v>
      </c>
      <c r="M71" s="31">
        <f t="shared" si="17"/>
        <v>300096</v>
      </c>
      <c r="N71" s="31">
        <f t="shared" si="17"/>
        <v>7924</v>
      </c>
      <c r="O71" s="31">
        <f>E71-(SUM(G71:N71))</f>
        <v>5862810</v>
      </c>
    </row>
    <row r="72" spans="1:15" ht="11.25">
      <c r="A72" s="23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11.25">
      <c r="A73" s="23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1.25">
      <c r="A74" s="23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1.25">
      <c r="A75" s="23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1.25">
      <c r="A76" s="23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1.25">
      <c r="A77" s="23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11.25">
      <c r="A78" s="23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11.25">
      <c r="A79" s="23"/>
      <c r="G79" s="24"/>
      <c r="H79" s="24"/>
      <c r="I79" s="24"/>
      <c r="J79" s="24"/>
      <c r="K79" s="24"/>
      <c r="L79" s="24"/>
      <c r="M79" s="24"/>
      <c r="N79" s="24"/>
      <c r="O79" s="24"/>
    </row>
    <row r="80" spans="1:15" ht="11.25">
      <c r="A80" s="23"/>
      <c r="G80" s="24"/>
      <c r="H80" s="24"/>
      <c r="I80" s="24"/>
      <c r="J80" s="24"/>
      <c r="K80" s="24"/>
      <c r="L80" s="24"/>
      <c r="M80" s="24"/>
      <c r="N80" s="24"/>
      <c r="O80" s="24"/>
    </row>
    <row r="81" spans="1:15" ht="11.25">
      <c r="A81" s="23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1.25">
      <c r="A82" s="23"/>
      <c r="G82" s="24"/>
      <c r="H82" s="24"/>
      <c r="I82" s="24"/>
      <c r="J82" s="24"/>
      <c r="K82" s="24"/>
      <c r="L82" s="24"/>
      <c r="M82" s="24"/>
      <c r="N82" s="24"/>
      <c r="O82" s="24"/>
    </row>
    <row r="83" spans="1:15" ht="11.25">
      <c r="A83" s="23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1.25">
      <c r="A84" s="23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1.25">
      <c r="A85" s="23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1.25">
      <c r="A86" s="23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1.25">
      <c r="A87" s="23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1.25">
      <c r="A88" s="23"/>
      <c r="G88" s="24"/>
      <c r="H88" s="24"/>
      <c r="I88" s="24"/>
      <c r="J88" s="24"/>
      <c r="K88" s="24"/>
      <c r="L88" s="24"/>
      <c r="M88" s="24"/>
      <c r="N88" s="24"/>
      <c r="O88" s="24"/>
    </row>
    <row r="89" spans="1:15" ht="11.25">
      <c r="A89" s="23"/>
      <c r="G89" s="24"/>
      <c r="H89" s="24"/>
      <c r="I89" s="24"/>
      <c r="J89" s="24"/>
      <c r="K89" s="24"/>
      <c r="L89" s="24"/>
      <c r="M89" s="24"/>
      <c r="N89" s="24"/>
      <c r="O89" s="24"/>
    </row>
    <row r="90" spans="1:15" ht="11.25">
      <c r="A90" s="23"/>
      <c r="G90" s="24"/>
      <c r="H90" s="24"/>
      <c r="I90" s="24"/>
      <c r="J90" s="24"/>
      <c r="K90" s="24"/>
      <c r="L90" s="24"/>
      <c r="M90" s="24"/>
      <c r="N90" s="24"/>
      <c r="O90" s="24"/>
    </row>
    <row r="91" spans="1:15" ht="11.25">
      <c r="A91" s="23"/>
      <c r="G91" s="24"/>
      <c r="H91" s="24"/>
      <c r="I91" s="24"/>
      <c r="J91" s="24"/>
      <c r="K91" s="24"/>
      <c r="L91" s="24"/>
      <c r="M91" s="24"/>
      <c r="N91" s="24"/>
      <c r="O91" s="24"/>
    </row>
    <row r="92" spans="1:15" ht="11.25">
      <c r="A92" s="23"/>
      <c r="G92" s="24"/>
      <c r="H92" s="24"/>
      <c r="I92" s="24"/>
      <c r="J92" s="24"/>
      <c r="K92" s="24"/>
      <c r="L92" s="24"/>
      <c r="M92" s="24"/>
      <c r="N92" s="24"/>
      <c r="O92" s="24"/>
    </row>
    <row r="93" spans="7:15" ht="11.25">
      <c r="G93" s="24"/>
      <c r="H93" s="24"/>
      <c r="I93" s="24"/>
      <c r="J93" s="24"/>
      <c r="K93" s="24"/>
      <c r="L93" s="24"/>
      <c r="M93" s="24"/>
      <c r="N93" s="24"/>
      <c r="O93" s="24"/>
    </row>
    <row r="94" spans="7:15" ht="11.25">
      <c r="G94" s="24"/>
      <c r="H94" s="24"/>
      <c r="I94" s="24"/>
      <c r="J94" s="24"/>
      <c r="K94" s="24"/>
      <c r="L94" s="24"/>
      <c r="M94" s="24"/>
      <c r="N94" s="24"/>
      <c r="O94" s="24"/>
    </row>
    <row r="95" spans="7:15" ht="11.25">
      <c r="G95" s="24"/>
      <c r="H95" s="24"/>
      <c r="I95" s="24"/>
      <c r="J95" s="24"/>
      <c r="K95" s="24"/>
      <c r="L95" s="24"/>
      <c r="M95" s="24"/>
      <c r="N95" s="24"/>
      <c r="O95" s="24"/>
    </row>
    <row r="96" spans="7:15" ht="11.25">
      <c r="G96" s="24"/>
      <c r="H96" s="24"/>
      <c r="I96" s="24"/>
      <c r="J96" s="24"/>
      <c r="K96" s="24"/>
      <c r="L96" s="24"/>
      <c r="M96" s="24"/>
      <c r="N96" s="24"/>
      <c r="O96" s="24"/>
    </row>
    <row r="97" spans="7:15" ht="11.25">
      <c r="G97" s="24"/>
      <c r="H97" s="24"/>
      <c r="I97" s="24"/>
      <c r="J97" s="24"/>
      <c r="K97" s="24"/>
      <c r="L97" s="24"/>
      <c r="M97" s="24"/>
      <c r="N97" s="24"/>
      <c r="O97" s="24"/>
    </row>
    <row r="98" spans="7:15" ht="11.25">
      <c r="G98" s="24"/>
      <c r="H98" s="24"/>
      <c r="I98" s="24"/>
      <c r="J98" s="24"/>
      <c r="K98" s="24"/>
      <c r="L98" s="24"/>
      <c r="M98" s="24"/>
      <c r="N98" s="24"/>
      <c r="O98" s="24"/>
    </row>
    <row r="99" spans="7:15" ht="11.25">
      <c r="G99" s="24"/>
      <c r="H99" s="24"/>
      <c r="I99" s="24"/>
      <c r="J99" s="24"/>
      <c r="K99" s="24"/>
      <c r="L99" s="24"/>
      <c r="M99" s="24"/>
      <c r="N99" s="24"/>
      <c r="O99" s="24"/>
    </row>
    <row r="100" spans="7:15" ht="11.25"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7:15" ht="11.25"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7:15" ht="11.25"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7:15" ht="11.25"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7:15" ht="11.25"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7:15" ht="11.25"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7:15" ht="11.25"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7:15" ht="11.25"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7:15" ht="11.25">
      <c r="G108" s="24"/>
      <c r="H108" s="24"/>
      <c r="I108" s="24"/>
      <c r="J108" s="24"/>
      <c r="K108" s="24"/>
      <c r="L108" s="24"/>
      <c r="M108" s="24"/>
      <c r="N108" s="24"/>
      <c r="O108" s="24"/>
    </row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</sheetData>
  <mergeCells count="1">
    <mergeCell ref="A2:O2"/>
  </mergeCells>
  <printOptions/>
  <pageMargins left="0.3937007874015748" right="0.3937007874015748" top="0.51" bottom="0.5905511811023623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4"/>
  <sheetViews>
    <sheetView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5" sqref="G5"/>
    </sheetView>
  </sheetViews>
  <sheetFormatPr defaultColWidth="9.00390625" defaultRowHeight="12.75"/>
  <cols>
    <col min="1" max="1" width="27.125" style="1" customWidth="1"/>
    <col min="2" max="2" width="8.00390625" style="1" customWidth="1"/>
    <col min="3" max="3" width="5.875" style="1" customWidth="1"/>
    <col min="4" max="4" width="7.25390625" style="2" customWidth="1"/>
    <col min="5" max="5" width="7.00390625" style="1" customWidth="1"/>
    <col min="6" max="6" width="6.375" style="1" customWidth="1"/>
    <col min="7" max="8" width="6.25390625" style="1" customWidth="1"/>
    <col min="9" max="9" width="5.75390625" style="1" customWidth="1"/>
    <col min="10" max="10" width="5.875" style="1" customWidth="1"/>
    <col min="11" max="11" width="7.00390625" style="1" customWidth="1"/>
    <col min="12" max="12" width="9.75390625" style="1" hidden="1" customWidth="1"/>
    <col min="13" max="13" width="8.00390625" style="1" customWidth="1"/>
    <col min="14" max="14" width="6.75390625" style="1" customWidth="1"/>
    <col min="15" max="15" width="6.00390625" style="1" customWidth="1"/>
    <col min="16" max="16" width="8.25390625" style="1" customWidth="1"/>
    <col min="17" max="17" width="5.75390625" style="1" customWidth="1"/>
    <col min="18" max="18" width="7.25390625" style="1" customWidth="1"/>
    <col min="19" max="19" width="6.75390625" style="1" customWidth="1"/>
    <col min="20" max="20" width="8.00390625" style="1" customWidth="1"/>
    <col min="21" max="16384" width="9.125" style="1" customWidth="1"/>
  </cols>
  <sheetData>
    <row r="1" ht="12.75">
      <c r="T1" s="32" t="s">
        <v>94</v>
      </c>
    </row>
    <row r="2" spans="1:20" ht="36" customHeight="1">
      <c r="A2" s="278" t="s">
        <v>99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20" s="67" customFormat="1" ht="11.25">
      <c r="A3" s="283" t="s">
        <v>8</v>
      </c>
      <c r="B3" s="64"/>
      <c r="C3" s="65"/>
      <c r="D3" s="65" t="s">
        <v>45</v>
      </c>
      <c r="E3" s="65"/>
      <c r="F3" s="65"/>
      <c r="G3" s="65"/>
      <c r="H3" s="65"/>
      <c r="I3" s="65"/>
      <c r="J3" s="65"/>
      <c r="K3" s="65"/>
      <c r="L3" s="66" t="s">
        <v>21</v>
      </c>
      <c r="M3" s="66"/>
      <c r="N3" s="286" t="s">
        <v>51</v>
      </c>
      <c r="O3" s="286"/>
      <c r="P3" s="286"/>
      <c r="Q3" s="286"/>
      <c r="R3" s="286"/>
      <c r="S3" s="286"/>
      <c r="T3" s="280" t="s">
        <v>46</v>
      </c>
    </row>
    <row r="4" spans="1:20" s="67" customFormat="1" ht="12.75" customHeight="1">
      <c r="A4" s="284"/>
      <c r="B4" s="287" t="s">
        <v>96</v>
      </c>
      <c r="C4" s="287" t="s">
        <v>98</v>
      </c>
      <c r="D4" s="286" t="s">
        <v>70</v>
      </c>
      <c r="E4" s="286"/>
      <c r="F4" s="286"/>
      <c r="G4" s="286"/>
      <c r="H4" s="286"/>
      <c r="I4" s="66" t="s">
        <v>47</v>
      </c>
      <c r="J4" s="66" t="s">
        <v>10</v>
      </c>
      <c r="K4" s="66" t="s">
        <v>11</v>
      </c>
      <c r="L4" s="66"/>
      <c r="M4" s="286" t="s">
        <v>50</v>
      </c>
      <c r="N4" s="286"/>
      <c r="O4" s="286"/>
      <c r="P4" s="286"/>
      <c r="Q4" s="286"/>
      <c r="R4" s="286"/>
      <c r="S4" s="246" t="s">
        <v>97</v>
      </c>
      <c r="T4" s="281"/>
    </row>
    <row r="5" spans="1:20" s="67" customFormat="1" ht="33" customHeight="1">
      <c r="A5" s="285"/>
      <c r="B5" s="288"/>
      <c r="C5" s="288"/>
      <c r="D5" s="69" t="s">
        <v>11</v>
      </c>
      <c r="E5" s="68" t="s">
        <v>22</v>
      </c>
      <c r="F5" s="68" t="s">
        <v>48</v>
      </c>
      <c r="G5" s="68" t="s">
        <v>49</v>
      </c>
      <c r="H5" s="68" t="s">
        <v>44</v>
      </c>
      <c r="I5" s="70"/>
      <c r="J5" s="70"/>
      <c r="K5" s="70"/>
      <c r="L5" s="69" t="s">
        <v>9</v>
      </c>
      <c r="M5" s="71" t="s">
        <v>56</v>
      </c>
      <c r="N5" s="71" t="s">
        <v>53</v>
      </c>
      <c r="O5" s="71" t="s">
        <v>52</v>
      </c>
      <c r="P5" s="71" t="s">
        <v>54</v>
      </c>
      <c r="Q5" s="71" t="s">
        <v>64</v>
      </c>
      <c r="R5" s="72" t="s">
        <v>55</v>
      </c>
      <c r="S5" s="279"/>
      <c r="T5" s="282"/>
    </row>
    <row r="6" spans="1:20" s="4" customFormat="1" ht="11.25">
      <c r="A6" s="9" t="s">
        <v>71</v>
      </c>
      <c r="B6" s="33">
        <v>22</v>
      </c>
      <c r="C6" s="34">
        <v>5</v>
      </c>
      <c r="D6" s="34">
        <f>E6+F6+G6+H6</f>
        <v>10.81</v>
      </c>
      <c r="E6" s="34">
        <v>0.11</v>
      </c>
      <c r="F6" s="34">
        <v>2.3</v>
      </c>
      <c r="G6" s="34">
        <v>3.59</v>
      </c>
      <c r="H6" s="34">
        <v>4.81</v>
      </c>
      <c r="I6" s="34">
        <v>0.46</v>
      </c>
      <c r="J6" s="34">
        <v>1.83</v>
      </c>
      <c r="K6" s="38">
        <f>J6+I6+D6</f>
        <v>13.1</v>
      </c>
      <c r="L6" s="35"/>
      <c r="M6" s="35">
        <v>184</v>
      </c>
      <c r="N6" s="35"/>
      <c r="O6" s="36"/>
      <c r="P6" s="36"/>
      <c r="Q6" s="36"/>
      <c r="R6" s="36">
        <v>41</v>
      </c>
      <c r="S6" s="36">
        <v>9</v>
      </c>
      <c r="T6" s="36">
        <f>M6+S6</f>
        <v>193</v>
      </c>
    </row>
    <row r="7" spans="1:20" s="4" customFormat="1" ht="11.25">
      <c r="A7" s="9" t="s">
        <v>72</v>
      </c>
      <c r="B7" s="33">
        <v>108</v>
      </c>
      <c r="C7" s="34">
        <v>14</v>
      </c>
      <c r="D7" s="34">
        <f aca="true" t="shared" si="0" ref="D7:D70">E7+F7+G7+H7</f>
        <v>33.1</v>
      </c>
      <c r="E7" s="34">
        <v>0.37</v>
      </c>
      <c r="F7" s="34">
        <v>7.2</v>
      </c>
      <c r="G7" s="34">
        <v>12.9</v>
      </c>
      <c r="H7" s="34">
        <v>12.63</v>
      </c>
      <c r="I7" s="34">
        <v>2.5</v>
      </c>
      <c r="J7" s="34">
        <v>7.5</v>
      </c>
      <c r="K7" s="38">
        <f aca="true" t="shared" si="1" ref="K7:K70">J7+I7+D7</f>
        <v>43.1</v>
      </c>
      <c r="L7" s="35"/>
      <c r="M7" s="35">
        <v>592</v>
      </c>
      <c r="N7" s="35">
        <v>0</v>
      </c>
      <c r="O7" s="36">
        <v>0</v>
      </c>
      <c r="P7" s="36">
        <v>49</v>
      </c>
      <c r="Q7" s="36">
        <v>7</v>
      </c>
      <c r="R7" s="36">
        <v>42</v>
      </c>
      <c r="S7" s="36">
        <v>6</v>
      </c>
      <c r="T7" s="36">
        <f aca="true" t="shared" si="2" ref="T7:T69">M7+S7</f>
        <v>598</v>
      </c>
    </row>
    <row r="8" spans="1:20" s="4" customFormat="1" ht="11.25">
      <c r="A8" s="9" t="s">
        <v>24</v>
      </c>
      <c r="B8" s="33">
        <v>73</v>
      </c>
      <c r="C8" s="34">
        <v>13</v>
      </c>
      <c r="D8" s="34">
        <f t="shared" si="0"/>
        <v>32.12</v>
      </c>
      <c r="E8" s="34">
        <v>1.55</v>
      </c>
      <c r="F8" s="34">
        <v>4.13</v>
      </c>
      <c r="G8" s="34">
        <v>19.55</v>
      </c>
      <c r="H8" s="34">
        <v>6.89</v>
      </c>
      <c r="I8" s="34">
        <v>2</v>
      </c>
      <c r="J8" s="34">
        <v>9.5</v>
      </c>
      <c r="K8" s="38">
        <f t="shared" si="1"/>
        <v>43.62</v>
      </c>
      <c r="L8" s="35"/>
      <c r="M8" s="35">
        <v>591</v>
      </c>
      <c r="N8" s="35">
        <v>0</v>
      </c>
      <c r="O8" s="36">
        <v>0</v>
      </c>
      <c r="P8" s="36">
        <v>21</v>
      </c>
      <c r="Q8" s="36">
        <v>4</v>
      </c>
      <c r="R8" s="36">
        <v>8</v>
      </c>
      <c r="S8" s="36">
        <v>3</v>
      </c>
      <c r="T8" s="36">
        <f>M8+S8</f>
        <v>594</v>
      </c>
    </row>
    <row r="9" spans="1:20" s="4" customFormat="1" ht="11.25">
      <c r="A9" s="13" t="s">
        <v>69</v>
      </c>
      <c r="B9" s="37">
        <f>SUM(B6:B8)</f>
        <v>203</v>
      </c>
      <c r="C9" s="31">
        <f aca="true" t="shared" si="3" ref="C9:T9">C6+C7+C8</f>
        <v>32</v>
      </c>
      <c r="D9" s="38">
        <f t="shared" si="3"/>
        <v>76.03</v>
      </c>
      <c r="E9" s="38">
        <f t="shared" si="3"/>
        <v>2.03</v>
      </c>
      <c r="F9" s="38">
        <f t="shared" si="3"/>
        <v>13.63</v>
      </c>
      <c r="G9" s="38">
        <f t="shared" si="3"/>
        <v>36.04</v>
      </c>
      <c r="H9" s="38">
        <f t="shared" si="3"/>
        <v>24.33</v>
      </c>
      <c r="I9" s="38">
        <f t="shared" si="3"/>
        <v>4.96</v>
      </c>
      <c r="J9" s="38">
        <f t="shared" si="3"/>
        <v>18.83</v>
      </c>
      <c r="K9" s="38">
        <f t="shared" si="3"/>
        <v>99.82</v>
      </c>
      <c r="L9" s="31">
        <f t="shared" si="3"/>
        <v>0</v>
      </c>
      <c r="M9" s="31">
        <f t="shared" si="3"/>
        <v>1367</v>
      </c>
      <c r="N9" s="31">
        <f t="shared" si="3"/>
        <v>0</v>
      </c>
      <c r="O9" s="31">
        <f t="shared" si="3"/>
        <v>0</v>
      </c>
      <c r="P9" s="31">
        <f t="shared" si="3"/>
        <v>70</v>
      </c>
      <c r="Q9" s="31">
        <f t="shared" si="3"/>
        <v>11</v>
      </c>
      <c r="R9" s="31">
        <f t="shared" si="3"/>
        <v>91</v>
      </c>
      <c r="S9" s="31">
        <f t="shared" si="3"/>
        <v>18</v>
      </c>
      <c r="T9" s="31">
        <f t="shared" si="3"/>
        <v>1385</v>
      </c>
    </row>
    <row r="10" spans="1:20" s="4" customFormat="1" ht="17.25" customHeight="1">
      <c r="A10" s="9" t="s">
        <v>71</v>
      </c>
      <c r="B10" s="39">
        <v>18</v>
      </c>
      <c r="C10" s="40">
        <v>3</v>
      </c>
      <c r="D10" s="34">
        <f t="shared" si="0"/>
        <v>8.12</v>
      </c>
      <c r="E10" s="34">
        <v>0.27</v>
      </c>
      <c r="F10" s="34">
        <v>1.98</v>
      </c>
      <c r="G10" s="34">
        <v>2.17</v>
      </c>
      <c r="H10" s="34">
        <v>3.7</v>
      </c>
      <c r="I10" s="34">
        <v>0.25</v>
      </c>
      <c r="J10" s="34">
        <v>0.58</v>
      </c>
      <c r="K10" s="38">
        <f t="shared" si="1"/>
        <v>8.95</v>
      </c>
      <c r="L10" s="41"/>
      <c r="M10" s="40">
        <v>139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7</v>
      </c>
      <c r="T10" s="36">
        <f t="shared" si="2"/>
        <v>146</v>
      </c>
    </row>
    <row r="11" spans="1:20" s="4" customFormat="1" ht="11.25">
      <c r="A11" s="9" t="s">
        <v>72</v>
      </c>
      <c r="B11" s="33">
        <v>94</v>
      </c>
      <c r="C11" s="34">
        <v>10</v>
      </c>
      <c r="D11" s="34">
        <f t="shared" si="0"/>
        <v>30.51</v>
      </c>
      <c r="E11" s="34">
        <v>0.15</v>
      </c>
      <c r="F11" s="34">
        <v>2.79</v>
      </c>
      <c r="G11" s="34">
        <v>10.99</v>
      </c>
      <c r="H11" s="34">
        <v>16.58</v>
      </c>
      <c r="I11" s="34">
        <v>2.5</v>
      </c>
      <c r="J11" s="34">
        <v>5.75</v>
      </c>
      <c r="K11" s="38">
        <f t="shared" si="1"/>
        <v>38.76</v>
      </c>
      <c r="L11" s="35"/>
      <c r="M11" s="35">
        <v>548</v>
      </c>
      <c r="N11" s="35">
        <v>0</v>
      </c>
      <c r="O11" s="36">
        <v>0</v>
      </c>
      <c r="P11" s="36">
        <v>68</v>
      </c>
      <c r="Q11" s="36">
        <v>9</v>
      </c>
      <c r="R11" s="36">
        <v>42</v>
      </c>
      <c r="S11" s="36">
        <v>3</v>
      </c>
      <c r="T11" s="36">
        <f t="shared" si="2"/>
        <v>551</v>
      </c>
    </row>
    <row r="12" spans="1:20" s="4" customFormat="1" ht="11.25">
      <c r="A12" s="9" t="s">
        <v>24</v>
      </c>
      <c r="B12" s="33">
        <v>36</v>
      </c>
      <c r="C12" s="34">
        <v>4</v>
      </c>
      <c r="D12" s="34">
        <f t="shared" si="0"/>
        <v>12.77</v>
      </c>
      <c r="E12" s="34">
        <v>0</v>
      </c>
      <c r="F12" s="34">
        <v>3.85</v>
      </c>
      <c r="G12" s="34">
        <v>5.55</v>
      </c>
      <c r="H12" s="34">
        <v>3.37</v>
      </c>
      <c r="I12" s="34">
        <v>1</v>
      </c>
      <c r="J12" s="34">
        <v>1.5</v>
      </c>
      <c r="K12" s="38">
        <f t="shared" si="1"/>
        <v>15.27</v>
      </c>
      <c r="L12" s="35"/>
      <c r="M12" s="35">
        <v>226</v>
      </c>
      <c r="N12" s="35">
        <v>0</v>
      </c>
      <c r="O12" s="36">
        <v>0</v>
      </c>
      <c r="P12" s="36">
        <v>43</v>
      </c>
      <c r="Q12" s="36">
        <v>12</v>
      </c>
      <c r="R12" s="36">
        <v>5</v>
      </c>
      <c r="S12" s="36">
        <v>1</v>
      </c>
      <c r="T12" s="36">
        <f t="shared" si="2"/>
        <v>227</v>
      </c>
    </row>
    <row r="13" spans="1:20" s="4" customFormat="1" ht="11.25">
      <c r="A13" s="9" t="s">
        <v>25</v>
      </c>
      <c r="B13" s="33"/>
      <c r="C13" s="34"/>
      <c r="D13" s="34">
        <f t="shared" si="0"/>
        <v>0</v>
      </c>
      <c r="E13" s="34"/>
      <c r="F13" s="34"/>
      <c r="G13" s="34"/>
      <c r="H13" s="34"/>
      <c r="I13" s="34"/>
      <c r="J13" s="34"/>
      <c r="K13" s="38">
        <f t="shared" si="1"/>
        <v>0</v>
      </c>
      <c r="L13" s="35"/>
      <c r="M13" s="35"/>
      <c r="N13" s="35"/>
      <c r="O13" s="36"/>
      <c r="P13" s="36"/>
      <c r="Q13" s="36"/>
      <c r="R13" s="36"/>
      <c r="S13" s="36"/>
      <c r="T13" s="36">
        <f t="shared" si="2"/>
        <v>0</v>
      </c>
    </row>
    <row r="14" spans="1:20" s="4" customFormat="1" ht="11.25">
      <c r="A14" s="13" t="s">
        <v>68</v>
      </c>
      <c r="B14" s="37">
        <f aca="true" t="shared" si="4" ref="B14:T14">B10+B11+B12+B13</f>
        <v>148</v>
      </c>
      <c r="C14" s="31">
        <f t="shared" si="4"/>
        <v>17</v>
      </c>
      <c r="D14" s="38">
        <f t="shared" si="4"/>
        <v>51.4</v>
      </c>
      <c r="E14" s="38">
        <f t="shared" si="4"/>
        <v>0.42</v>
      </c>
      <c r="F14" s="38">
        <f t="shared" si="4"/>
        <v>8.62</v>
      </c>
      <c r="G14" s="38">
        <f t="shared" si="4"/>
        <v>18.71</v>
      </c>
      <c r="H14" s="38">
        <f t="shared" si="4"/>
        <v>23.65</v>
      </c>
      <c r="I14" s="38">
        <f t="shared" si="4"/>
        <v>3.75</v>
      </c>
      <c r="J14" s="38">
        <f t="shared" si="4"/>
        <v>7.83</v>
      </c>
      <c r="K14" s="38">
        <f t="shared" si="4"/>
        <v>62.98</v>
      </c>
      <c r="L14" s="31">
        <f t="shared" si="4"/>
        <v>0</v>
      </c>
      <c r="M14" s="31">
        <f t="shared" si="4"/>
        <v>913</v>
      </c>
      <c r="N14" s="31">
        <f t="shared" si="4"/>
        <v>0</v>
      </c>
      <c r="O14" s="31">
        <f t="shared" si="4"/>
        <v>0</v>
      </c>
      <c r="P14" s="31">
        <f t="shared" si="4"/>
        <v>111</v>
      </c>
      <c r="Q14" s="31">
        <f t="shared" si="4"/>
        <v>21</v>
      </c>
      <c r="R14" s="31">
        <f t="shared" si="4"/>
        <v>47</v>
      </c>
      <c r="S14" s="31">
        <f t="shared" si="4"/>
        <v>11</v>
      </c>
      <c r="T14" s="31">
        <f t="shared" si="4"/>
        <v>924</v>
      </c>
    </row>
    <row r="15" spans="1:20" s="4" customFormat="1" ht="11.25">
      <c r="A15" s="9" t="s">
        <v>12</v>
      </c>
      <c r="B15" s="33">
        <v>500</v>
      </c>
      <c r="C15" s="34">
        <v>17</v>
      </c>
      <c r="D15" s="34">
        <f t="shared" si="0"/>
        <v>49.37</v>
      </c>
      <c r="E15" s="34">
        <v>0.61</v>
      </c>
      <c r="F15" s="34">
        <v>7.86</v>
      </c>
      <c r="G15" s="34">
        <v>26.23</v>
      </c>
      <c r="H15" s="34">
        <v>14.67</v>
      </c>
      <c r="I15" s="34">
        <v>4.95</v>
      </c>
      <c r="J15" s="34">
        <v>10.57</v>
      </c>
      <c r="K15" s="38">
        <f t="shared" si="1"/>
        <v>64.89</v>
      </c>
      <c r="L15" s="35"/>
      <c r="M15" s="35">
        <v>838</v>
      </c>
      <c r="N15" s="35">
        <v>0</v>
      </c>
      <c r="O15" s="36">
        <v>0</v>
      </c>
      <c r="P15" s="36">
        <v>0</v>
      </c>
      <c r="Q15" s="36">
        <v>0</v>
      </c>
      <c r="R15" s="36">
        <v>121</v>
      </c>
      <c r="S15" s="36">
        <v>55</v>
      </c>
      <c r="T15" s="36">
        <f t="shared" si="2"/>
        <v>893</v>
      </c>
    </row>
    <row r="16" spans="1:20" s="4" customFormat="1" ht="11.25">
      <c r="A16" s="9" t="s">
        <v>13</v>
      </c>
      <c r="B16" s="33">
        <v>555</v>
      </c>
      <c r="C16" s="40">
        <v>18</v>
      </c>
      <c r="D16" s="34">
        <f t="shared" si="0"/>
        <v>48.36</v>
      </c>
      <c r="E16" s="34">
        <v>1.47</v>
      </c>
      <c r="F16" s="34">
        <v>1.57</v>
      </c>
      <c r="G16" s="34">
        <v>24.9</v>
      </c>
      <c r="H16" s="34">
        <v>20.42</v>
      </c>
      <c r="I16" s="34">
        <v>5.45</v>
      </c>
      <c r="J16" s="34">
        <v>12.67</v>
      </c>
      <c r="K16" s="38">
        <f t="shared" si="1"/>
        <v>66.48</v>
      </c>
      <c r="L16" s="41"/>
      <c r="M16" s="40">
        <v>814</v>
      </c>
      <c r="N16" s="40">
        <v>50</v>
      </c>
      <c r="O16" s="40">
        <v>0</v>
      </c>
      <c r="P16" s="40">
        <v>32</v>
      </c>
      <c r="Q16" s="40">
        <v>2</v>
      </c>
      <c r="R16" s="40">
        <v>72</v>
      </c>
      <c r="S16" s="40">
        <v>36</v>
      </c>
      <c r="T16" s="36">
        <f t="shared" si="2"/>
        <v>850</v>
      </c>
    </row>
    <row r="17" spans="1:20" s="4" customFormat="1" ht="11.25">
      <c r="A17" s="9" t="s">
        <v>3</v>
      </c>
      <c r="B17" s="33">
        <v>644</v>
      </c>
      <c r="C17" s="34">
        <v>21</v>
      </c>
      <c r="D17" s="34">
        <f t="shared" si="0"/>
        <v>71.83</v>
      </c>
      <c r="E17" s="34">
        <v>2.76</v>
      </c>
      <c r="F17" s="34">
        <v>8.83</v>
      </c>
      <c r="G17" s="34">
        <v>22.42</v>
      </c>
      <c r="H17" s="34">
        <v>37.82</v>
      </c>
      <c r="I17" s="34">
        <v>3.42</v>
      </c>
      <c r="J17" s="34">
        <v>11.96</v>
      </c>
      <c r="K17" s="38">
        <f t="shared" si="1"/>
        <v>87.21</v>
      </c>
      <c r="L17" s="35"/>
      <c r="M17" s="35">
        <v>1284</v>
      </c>
      <c r="N17" s="35">
        <v>58</v>
      </c>
      <c r="O17" s="36">
        <v>206</v>
      </c>
      <c r="P17" s="36"/>
      <c r="Q17" s="36"/>
      <c r="R17" s="36">
        <v>143</v>
      </c>
      <c r="S17" s="36">
        <v>34</v>
      </c>
      <c r="T17" s="36">
        <f t="shared" si="2"/>
        <v>1318</v>
      </c>
    </row>
    <row r="18" spans="1:20" s="4" customFormat="1" ht="11.25">
      <c r="A18" s="9" t="s">
        <v>4</v>
      </c>
      <c r="B18" s="33">
        <v>542</v>
      </c>
      <c r="C18" s="34">
        <v>18</v>
      </c>
      <c r="D18" s="34">
        <f t="shared" si="0"/>
        <v>46.33</v>
      </c>
      <c r="E18" s="34">
        <v>0.36</v>
      </c>
      <c r="F18" s="34">
        <v>3.45</v>
      </c>
      <c r="G18" s="34">
        <v>19.34</v>
      </c>
      <c r="H18" s="34">
        <v>23.18</v>
      </c>
      <c r="I18" s="34">
        <v>4</v>
      </c>
      <c r="J18" s="34">
        <v>10</v>
      </c>
      <c r="K18" s="38">
        <f t="shared" si="1"/>
        <v>60.33</v>
      </c>
      <c r="L18" s="35"/>
      <c r="M18" s="35">
        <v>784</v>
      </c>
      <c r="N18" s="35">
        <v>0</v>
      </c>
      <c r="O18" s="36">
        <v>0</v>
      </c>
      <c r="P18" s="36">
        <v>12</v>
      </c>
      <c r="Q18" s="36">
        <v>2</v>
      </c>
      <c r="R18" s="36">
        <v>98</v>
      </c>
      <c r="S18" s="36">
        <v>10</v>
      </c>
      <c r="T18" s="36">
        <f t="shared" si="2"/>
        <v>794</v>
      </c>
    </row>
    <row r="19" spans="1:20" s="4" customFormat="1" ht="11.25">
      <c r="A19" s="9" t="s">
        <v>14</v>
      </c>
      <c r="B19" s="33">
        <v>483</v>
      </c>
      <c r="C19" s="34">
        <v>18</v>
      </c>
      <c r="D19" s="34">
        <f t="shared" si="0"/>
        <v>48.74</v>
      </c>
      <c r="E19" s="34">
        <v>3.21</v>
      </c>
      <c r="F19" s="34">
        <v>9.26</v>
      </c>
      <c r="G19" s="34">
        <v>18.23</v>
      </c>
      <c r="H19" s="34">
        <v>18.04</v>
      </c>
      <c r="I19" s="34">
        <v>4.5</v>
      </c>
      <c r="J19" s="34">
        <v>9.58</v>
      </c>
      <c r="K19" s="38">
        <f t="shared" si="1"/>
        <v>62.82</v>
      </c>
      <c r="L19" s="35"/>
      <c r="M19" s="35">
        <v>844</v>
      </c>
      <c r="N19" s="35">
        <v>0</v>
      </c>
      <c r="O19" s="36">
        <v>0</v>
      </c>
      <c r="P19" s="36">
        <v>38</v>
      </c>
      <c r="Q19" s="36">
        <v>4</v>
      </c>
      <c r="R19" s="36">
        <v>85</v>
      </c>
      <c r="S19" s="36">
        <v>34</v>
      </c>
      <c r="T19" s="36">
        <f t="shared" si="2"/>
        <v>878</v>
      </c>
    </row>
    <row r="20" spans="1:20" s="4" customFormat="1" ht="11.25">
      <c r="A20" s="9" t="s">
        <v>5</v>
      </c>
      <c r="B20" s="33">
        <v>568</v>
      </c>
      <c r="C20" s="34">
        <v>18</v>
      </c>
      <c r="D20" s="34">
        <f t="shared" si="0"/>
        <v>53.29</v>
      </c>
      <c r="E20" s="34">
        <v>2.74</v>
      </c>
      <c r="F20" s="34">
        <v>3.85</v>
      </c>
      <c r="G20" s="34">
        <v>12.44</v>
      </c>
      <c r="H20" s="34">
        <v>34.26</v>
      </c>
      <c r="I20" s="34">
        <v>4</v>
      </c>
      <c r="J20" s="34">
        <v>10.45</v>
      </c>
      <c r="K20" s="38">
        <f t="shared" si="1"/>
        <v>67.74</v>
      </c>
      <c r="L20" s="35"/>
      <c r="M20" s="35">
        <v>873</v>
      </c>
      <c r="N20" s="35">
        <v>0</v>
      </c>
      <c r="O20" s="36">
        <v>0</v>
      </c>
      <c r="P20" s="36">
        <v>0</v>
      </c>
      <c r="Q20" s="36">
        <v>0</v>
      </c>
      <c r="R20" s="36">
        <v>90</v>
      </c>
      <c r="S20" s="36">
        <v>36</v>
      </c>
      <c r="T20" s="36">
        <f t="shared" si="2"/>
        <v>909</v>
      </c>
    </row>
    <row r="21" spans="1:20" s="4" customFormat="1" ht="11.25">
      <c r="A21" s="9" t="s">
        <v>15</v>
      </c>
      <c r="B21" s="33">
        <v>177</v>
      </c>
      <c r="C21" s="34">
        <v>6</v>
      </c>
      <c r="D21" s="34">
        <f t="shared" si="0"/>
        <v>21</v>
      </c>
      <c r="E21" s="34">
        <v>1.53</v>
      </c>
      <c r="F21" s="34">
        <v>2.49</v>
      </c>
      <c r="G21" s="34">
        <v>14.3</v>
      </c>
      <c r="H21" s="34">
        <v>2.68</v>
      </c>
      <c r="I21" s="34">
        <v>1.5</v>
      </c>
      <c r="J21" s="34">
        <v>4.5</v>
      </c>
      <c r="K21" s="38">
        <f t="shared" si="1"/>
        <v>27</v>
      </c>
      <c r="L21" s="35"/>
      <c r="M21" s="35">
        <v>323</v>
      </c>
      <c r="N21" s="35">
        <v>0</v>
      </c>
      <c r="O21" s="36">
        <v>0</v>
      </c>
      <c r="P21" s="36">
        <v>11</v>
      </c>
      <c r="Q21" s="36">
        <v>1</v>
      </c>
      <c r="R21" s="36">
        <v>33</v>
      </c>
      <c r="S21" s="36">
        <v>57</v>
      </c>
      <c r="T21" s="36">
        <f t="shared" si="2"/>
        <v>380</v>
      </c>
    </row>
    <row r="22" spans="1:20" s="4" customFormat="1" ht="11.25">
      <c r="A22" s="9" t="s">
        <v>6</v>
      </c>
      <c r="B22" s="33">
        <v>263</v>
      </c>
      <c r="C22" s="34">
        <v>10</v>
      </c>
      <c r="D22" s="34">
        <f t="shared" si="0"/>
        <v>35.1</v>
      </c>
      <c r="E22" s="34">
        <v>0.2</v>
      </c>
      <c r="F22" s="34">
        <v>5.3</v>
      </c>
      <c r="G22" s="34">
        <v>24.9</v>
      </c>
      <c r="H22" s="34">
        <v>4.7</v>
      </c>
      <c r="I22" s="34">
        <v>2.5</v>
      </c>
      <c r="J22" s="34">
        <v>5.5</v>
      </c>
      <c r="K22" s="38">
        <f t="shared" si="1"/>
        <v>43.1</v>
      </c>
      <c r="L22" s="35"/>
      <c r="M22" s="35">
        <v>621</v>
      </c>
      <c r="N22" s="35">
        <v>0</v>
      </c>
      <c r="O22" s="36">
        <v>0</v>
      </c>
      <c r="P22" s="36">
        <v>85</v>
      </c>
      <c r="Q22" s="36">
        <v>7</v>
      </c>
      <c r="R22" s="36">
        <v>82</v>
      </c>
      <c r="S22" s="36">
        <v>23</v>
      </c>
      <c r="T22" s="36">
        <f t="shared" si="2"/>
        <v>644</v>
      </c>
    </row>
    <row r="23" spans="1:20" s="4" customFormat="1" ht="11.25">
      <c r="A23" s="9" t="s">
        <v>16</v>
      </c>
      <c r="B23" s="33">
        <v>514</v>
      </c>
      <c r="C23" s="34">
        <v>16</v>
      </c>
      <c r="D23" s="34">
        <f t="shared" si="0"/>
        <v>47.58</v>
      </c>
      <c r="E23" s="34">
        <v>1.86</v>
      </c>
      <c r="F23" s="34">
        <v>6.22</v>
      </c>
      <c r="G23" s="34">
        <v>24.5</v>
      </c>
      <c r="H23" s="34">
        <v>15</v>
      </c>
      <c r="I23" s="34">
        <v>3.75</v>
      </c>
      <c r="J23" s="34">
        <v>8.25</v>
      </c>
      <c r="K23" s="38">
        <f t="shared" si="1"/>
        <v>59.58</v>
      </c>
      <c r="L23" s="35"/>
      <c r="M23" s="35">
        <v>816</v>
      </c>
      <c r="N23" s="35">
        <v>0</v>
      </c>
      <c r="O23" s="36">
        <v>0</v>
      </c>
      <c r="P23" s="36">
        <v>64</v>
      </c>
      <c r="Q23" s="36">
        <v>8</v>
      </c>
      <c r="R23" s="36">
        <v>100</v>
      </c>
      <c r="S23" s="36">
        <v>32</v>
      </c>
      <c r="T23" s="36">
        <f t="shared" si="2"/>
        <v>848</v>
      </c>
    </row>
    <row r="24" spans="1:20" s="4" customFormat="1" ht="11.25">
      <c r="A24" s="9" t="s">
        <v>17</v>
      </c>
      <c r="B24" s="33">
        <v>411</v>
      </c>
      <c r="C24" s="34">
        <v>14</v>
      </c>
      <c r="D24" s="34">
        <f t="shared" si="0"/>
        <v>35.2</v>
      </c>
      <c r="E24" s="34">
        <v>2.2</v>
      </c>
      <c r="F24" s="34">
        <v>8.6</v>
      </c>
      <c r="G24" s="34">
        <v>16.5</v>
      </c>
      <c r="H24" s="34">
        <v>7.9</v>
      </c>
      <c r="I24" s="34">
        <v>3.5</v>
      </c>
      <c r="J24" s="34">
        <v>7.5</v>
      </c>
      <c r="K24" s="38">
        <f t="shared" si="1"/>
        <v>46.2</v>
      </c>
      <c r="L24" s="35"/>
      <c r="M24" s="35">
        <v>618</v>
      </c>
      <c r="N24" s="35">
        <v>0</v>
      </c>
      <c r="O24" s="36">
        <v>0</v>
      </c>
      <c r="P24" s="36">
        <v>16</v>
      </c>
      <c r="Q24" s="36">
        <v>1</v>
      </c>
      <c r="R24" s="36">
        <v>60</v>
      </c>
      <c r="S24" s="36">
        <v>28</v>
      </c>
      <c r="T24" s="36">
        <f t="shared" si="2"/>
        <v>646</v>
      </c>
    </row>
    <row r="25" spans="1:20" s="4" customFormat="1" ht="11.25">
      <c r="A25" s="9" t="s">
        <v>18</v>
      </c>
      <c r="B25" s="33">
        <v>285</v>
      </c>
      <c r="C25" s="34">
        <v>9</v>
      </c>
      <c r="D25" s="34">
        <f t="shared" si="0"/>
        <v>23.54</v>
      </c>
      <c r="E25" s="34">
        <v>0.55</v>
      </c>
      <c r="F25" s="34">
        <v>4.23</v>
      </c>
      <c r="G25" s="34">
        <v>6.59</v>
      </c>
      <c r="H25" s="34">
        <v>12.17</v>
      </c>
      <c r="I25" s="34">
        <v>3</v>
      </c>
      <c r="J25" s="34">
        <v>5</v>
      </c>
      <c r="K25" s="38">
        <f t="shared" si="1"/>
        <v>31.54</v>
      </c>
      <c r="L25" s="35"/>
      <c r="M25" s="35">
        <v>388</v>
      </c>
      <c r="N25" s="35">
        <v>0</v>
      </c>
      <c r="O25" s="36">
        <v>0</v>
      </c>
      <c r="P25" s="36">
        <v>0</v>
      </c>
      <c r="Q25" s="36">
        <v>0</v>
      </c>
      <c r="R25" s="36">
        <v>50</v>
      </c>
      <c r="S25" s="36">
        <v>18</v>
      </c>
      <c r="T25" s="36">
        <f t="shared" si="2"/>
        <v>406</v>
      </c>
    </row>
    <row r="26" spans="1:20" s="4" customFormat="1" ht="11.25">
      <c r="A26" s="9" t="s">
        <v>7</v>
      </c>
      <c r="B26" s="33">
        <v>309</v>
      </c>
      <c r="C26" s="34">
        <v>12</v>
      </c>
      <c r="D26" s="34">
        <f t="shared" si="0"/>
        <v>35.2</v>
      </c>
      <c r="E26" s="34">
        <v>0.6</v>
      </c>
      <c r="F26" s="34">
        <v>4.6</v>
      </c>
      <c r="G26" s="34">
        <v>18.9</v>
      </c>
      <c r="H26" s="34">
        <v>11.1</v>
      </c>
      <c r="I26" s="34">
        <v>2.1</v>
      </c>
      <c r="J26" s="34">
        <v>5.6</v>
      </c>
      <c r="K26" s="38">
        <f t="shared" si="1"/>
        <v>42.9</v>
      </c>
      <c r="L26" s="35"/>
      <c r="M26" s="35">
        <v>601</v>
      </c>
      <c r="N26" s="35">
        <v>0</v>
      </c>
      <c r="O26" s="36">
        <v>0</v>
      </c>
      <c r="P26" s="36">
        <v>100</v>
      </c>
      <c r="Q26" s="36">
        <v>8</v>
      </c>
      <c r="R26" s="36">
        <v>63</v>
      </c>
      <c r="S26" s="36">
        <v>39</v>
      </c>
      <c r="T26" s="36">
        <f t="shared" si="2"/>
        <v>640</v>
      </c>
    </row>
    <row r="27" spans="1:20" s="4" customFormat="1" ht="11.25">
      <c r="A27" s="9" t="s">
        <v>19</v>
      </c>
      <c r="B27" s="33">
        <v>509</v>
      </c>
      <c r="C27" s="34">
        <v>18</v>
      </c>
      <c r="D27" s="34">
        <f t="shared" si="0"/>
        <v>44.84</v>
      </c>
      <c r="E27" s="34">
        <v>1.42</v>
      </c>
      <c r="F27" s="34">
        <v>8.18</v>
      </c>
      <c r="G27" s="34">
        <v>14.41</v>
      </c>
      <c r="H27" s="34">
        <v>20.83</v>
      </c>
      <c r="I27" s="34">
        <v>4.67</v>
      </c>
      <c r="J27" s="34">
        <v>10.25</v>
      </c>
      <c r="K27" s="38">
        <f t="shared" si="1"/>
        <v>59.76</v>
      </c>
      <c r="L27" s="35"/>
      <c r="M27" s="35">
        <v>770</v>
      </c>
      <c r="N27" s="35">
        <v>130</v>
      </c>
      <c r="O27" s="36">
        <v>0</v>
      </c>
      <c r="P27" s="36">
        <v>18</v>
      </c>
      <c r="Q27" s="36">
        <v>2</v>
      </c>
      <c r="R27" s="36">
        <v>57</v>
      </c>
      <c r="S27" s="36">
        <v>32</v>
      </c>
      <c r="T27" s="36">
        <f t="shared" si="2"/>
        <v>802</v>
      </c>
    </row>
    <row r="28" spans="1:20" s="4" customFormat="1" ht="11.25">
      <c r="A28" s="9" t="s">
        <v>23</v>
      </c>
      <c r="B28" s="33">
        <v>269</v>
      </c>
      <c r="C28" s="34">
        <v>11</v>
      </c>
      <c r="D28" s="34">
        <f t="shared" si="0"/>
        <v>8.2</v>
      </c>
      <c r="E28" s="34">
        <v>0.5</v>
      </c>
      <c r="F28" s="34">
        <v>1.3</v>
      </c>
      <c r="G28" s="34">
        <v>3.4</v>
      </c>
      <c r="H28" s="34">
        <v>3</v>
      </c>
      <c r="I28" s="34">
        <v>2.25</v>
      </c>
      <c r="J28" s="34">
        <v>3.85</v>
      </c>
      <c r="K28" s="38">
        <f t="shared" si="1"/>
        <v>14.3</v>
      </c>
      <c r="L28" s="35"/>
      <c r="M28" s="35">
        <v>149</v>
      </c>
      <c r="N28" s="35">
        <v>0</v>
      </c>
      <c r="O28" s="36">
        <v>0</v>
      </c>
      <c r="P28" s="36">
        <v>0</v>
      </c>
      <c r="Q28" s="36">
        <v>0</v>
      </c>
      <c r="R28" s="36">
        <v>15</v>
      </c>
      <c r="S28" s="36">
        <v>0</v>
      </c>
      <c r="T28" s="36">
        <f t="shared" si="2"/>
        <v>149</v>
      </c>
    </row>
    <row r="29" spans="1:20" s="4" customFormat="1" ht="21.75" customHeight="1">
      <c r="A29" s="13" t="s">
        <v>74</v>
      </c>
      <c r="B29" s="37">
        <f>SUM(B15:B28)</f>
        <v>6029</v>
      </c>
      <c r="C29" s="31">
        <f>SUM(C15:C28)</f>
        <v>206</v>
      </c>
      <c r="D29" s="38">
        <f aca="true" t="shared" si="5" ref="D29:M29">SUM(D15:D28)</f>
        <v>568.58</v>
      </c>
      <c r="E29" s="38">
        <f t="shared" si="5"/>
        <v>20.01</v>
      </c>
      <c r="F29" s="38">
        <f t="shared" si="5"/>
        <v>75.74</v>
      </c>
      <c r="G29" s="38">
        <f t="shared" si="5"/>
        <v>247.06</v>
      </c>
      <c r="H29" s="38">
        <f t="shared" si="5"/>
        <v>225.77</v>
      </c>
      <c r="I29" s="38">
        <f t="shared" si="5"/>
        <v>49.59</v>
      </c>
      <c r="J29" s="38">
        <f t="shared" si="5"/>
        <v>115.68</v>
      </c>
      <c r="K29" s="38">
        <f t="shared" si="5"/>
        <v>733.85</v>
      </c>
      <c r="L29" s="31">
        <f t="shared" si="5"/>
        <v>0</v>
      </c>
      <c r="M29" s="31">
        <f t="shared" si="5"/>
        <v>9723</v>
      </c>
      <c r="N29" s="31">
        <f aca="true" t="shared" si="6" ref="N29:T29">SUM(N15:N28)</f>
        <v>238</v>
      </c>
      <c r="O29" s="31">
        <f t="shared" si="6"/>
        <v>206</v>
      </c>
      <c r="P29" s="31">
        <f t="shared" si="6"/>
        <v>376</v>
      </c>
      <c r="Q29" s="31">
        <f t="shared" si="6"/>
        <v>35</v>
      </c>
      <c r="R29" s="31">
        <f t="shared" si="6"/>
        <v>1069</v>
      </c>
      <c r="S29" s="31">
        <f t="shared" si="6"/>
        <v>434</v>
      </c>
      <c r="T29" s="31">
        <f t="shared" si="6"/>
        <v>10157</v>
      </c>
    </row>
    <row r="30" spans="1:20" s="4" customFormat="1" ht="18" customHeight="1">
      <c r="A30" s="9" t="s">
        <v>71</v>
      </c>
      <c r="B30" s="33">
        <v>16</v>
      </c>
      <c r="C30" s="34">
        <v>3</v>
      </c>
      <c r="D30" s="34">
        <f t="shared" si="0"/>
        <v>6.66</v>
      </c>
      <c r="E30" s="34">
        <v>0</v>
      </c>
      <c r="F30" s="34">
        <v>0.86</v>
      </c>
      <c r="G30" s="34">
        <v>2.13</v>
      </c>
      <c r="H30" s="34">
        <v>3.67</v>
      </c>
      <c r="I30" s="34">
        <v>0</v>
      </c>
      <c r="J30" s="34">
        <v>0</v>
      </c>
      <c r="K30" s="38">
        <f t="shared" si="1"/>
        <v>6.66</v>
      </c>
      <c r="L30" s="35"/>
      <c r="M30" s="35">
        <v>113</v>
      </c>
      <c r="N30" s="35">
        <v>0</v>
      </c>
      <c r="O30" s="36">
        <v>0</v>
      </c>
      <c r="P30" s="36">
        <v>6</v>
      </c>
      <c r="Q30" s="36">
        <v>1</v>
      </c>
      <c r="R30" s="36">
        <v>0</v>
      </c>
      <c r="S30" s="36">
        <v>5</v>
      </c>
      <c r="T30" s="36">
        <f t="shared" si="2"/>
        <v>118</v>
      </c>
    </row>
    <row r="31" spans="1:20" s="4" customFormat="1" ht="18" customHeight="1">
      <c r="A31" s="16" t="s">
        <v>80</v>
      </c>
      <c r="B31" s="33">
        <v>16</v>
      </c>
      <c r="C31" s="34">
        <v>2</v>
      </c>
      <c r="D31" s="34">
        <f t="shared" si="0"/>
        <v>2.81</v>
      </c>
      <c r="E31" s="34">
        <v>0.4</v>
      </c>
      <c r="F31" s="34">
        <v>0.11</v>
      </c>
      <c r="G31" s="34">
        <v>0.97</v>
      </c>
      <c r="H31" s="34">
        <v>1.33</v>
      </c>
      <c r="I31" s="34">
        <v>0</v>
      </c>
      <c r="J31" s="34">
        <v>0</v>
      </c>
      <c r="K31" s="38">
        <f t="shared" si="1"/>
        <v>2.81</v>
      </c>
      <c r="L31" s="35"/>
      <c r="M31" s="35">
        <v>52</v>
      </c>
      <c r="N31" s="35">
        <v>0</v>
      </c>
      <c r="O31" s="36">
        <v>0</v>
      </c>
      <c r="P31" s="36">
        <v>0</v>
      </c>
      <c r="Q31" s="36">
        <v>0</v>
      </c>
      <c r="R31" s="36">
        <v>0</v>
      </c>
      <c r="S31" s="36">
        <v>2</v>
      </c>
      <c r="T31" s="36">
        <f t="shared" si="2"/>
        <v>54</v>
      </c>
    </row>
    <row r="32" spans="1:20" s="45" customFormat="1" ht="27.75" customHeight="1">
      <c r="A32" s="17" t="s">
        <v>73</v>
      </c>
      <c r="B32" s="42">
        <f>B30+B31</f>
        <v>32</v>
      </c>
      <c r="C32" s="43">
        <f>C30+C31</f>
        <v>5</v>
      </c>
      <c r="D32" s="34">
        <f t="shared" si="0"/>
        <v>9.5</v>
      </c>
      <c r="E32" s="44">
        <f aca="true" t="shared" si="7" ref="E32:J32">E30+E31</f>
        <v>0.4</v>
      </c>
      <c r="F32" s="44">
        <f t="shared" si="7"/>
        <v>1</v>
      </c>
      <c r="G32" s="44">
        <f t="shared" si="7"/>
        <v>3.1</v>
      </c>
      <c r="H32" s="44">
        <f t="shared" si="7"/>
        <v>5</v>
      </c>
      <c r="I32" s="44">
        <f t="shared" si="7"/>
        <v>0</v>
      </c>
      <c r="J32" s="44">
        <f t="shared" si="7"/>
        <v>0</v>
      </c>
      <c r="K32" s="38">
        <f t="shared" si="1"/>
        <v>9.5</v>
      </c>
      <c r="L32" s="44">
        <f>L30</f>
        <v>0</v>
      </c>
      <c r="M32" s="44">
        <f>M30+M31</f>
        <v>165</v>
      </c>
      <c r="N32" s="44">
        <f aca="true" t="shared" si="8" ref="N32:S32">N30+N31</f>
        <v>0</v>
      </c>
      <c r="O32" s="44">
        <f t="shared" si="8"/>
        <v>0</v>
      </c>
      <c r="P32" s="44">
        <f t="shared" si="8"/>
        <v>6</v>
      </c>
      <c r="Q32" s="44">
        <f t="shared" si="8"/>
        <v>1</v>
      </c>
      <c r="R32" s="44">
        <f t="shared" si="8"/>
        <v>0</v>
      </c>
      <c r="S32" s="44">
        <f t="shared" si="8"/>
        <v>7</v>
      </c>
      <c r="T32" s="44">
        <f>T30</f>
        <v>118</v>
      </c>
    </row>
    <row r="33" spans="1:20" s="3" customFormat="1" ht="11.25">
      <c r="A33" s="16" t="s">
        <v>58</v>
      </c>
      <c r="B33" s="39">
        <v>103</v>
      </c>
      <c r="C33" s="40">
        <v>4</v>
      </c>
      <c r="D33" s="34">
        <f t="shared" si="0"/>
        <v>11.29</v>
      </c>
      <c r="E33" s="34">
        <v>0.67</v>
      </c>
      <c r="F33" s="34">
        <v>2.78</v>
      </c>
      <c r="G33" s="34">
        <v>6.84</v>
      </c>
      <c r="H33" s="34">
        <v>1</v>
      </c>
      <c r="I33" s="34">
        <v>2</v>
      </c>
      <c r="J33" s="34">
        <v>4.09</v>
      </c>
      <c r="K33" s="38">
        <f t="shared" si="1"/>
        <v>17.38</v>
      </c>
      <c r="L33" s="40"/>
      <c r="M33" s="40">
        <v>202</v>
      </c>
      <c r="N33" s="40">
        <v>0</v>
      </c>
      <c r="O33" s="36">
        <v>0</v>
      </c>
      <c r="P33" s="36">
        <v>0</v>
      </c>
      <c r="Q33" s="36">
        <v>0</v>
      </c>
      <c r="R33" s="36">
        <v>20</v>
      </c>
      <c r="S33" s="36">
        <v>0</v>
      </c>
      <c r="T33" s="36">
        <f t="shared" si="2"/>
        <v>202</v>
      </c>
    </row>
    <row r="34" spans="1:20" s="3" customFormat="1" ht="11.25">
      <c r="A34" s="9" t="s">
        <v>75</v>
      </c>
      <c r="B34" s="39">
        <v>15</v>
      </c>
      <c r="C34" s="40">
        <v>1</v>
      </c>
      <c r="D34" s="34">
        <f t="shared" si="0"/>
        <v>1.4</v>
      </c>
      <c r="E34" s="34">
        <v>0</v>
      </c>
      <c r="F34" s="34">
        <v>0</v>
      </c>
      <c r="G34" s="34">
        <v>0.7</v>
      </c>
      <c r="H34" s="34">
        <v>0.7</v>
      </c>
      <c r="I34" s="34">
        <v>0</v>
      </c>
      <c r="J34" s="34">
        <v>0</v>
      </c>
      <c r="K34" s="38">
        <f t="shared" si="1"/>
        <v>1.4</v>
      </c>
      <c r="L34" s="40"/>
      <c r="M34" s="40">
        <v>25</v>
      </c>
      <c r="N34" s="40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f t="shared" si="2"/>
        <v>25</v>
      </c>
    </row>
    <row r="35" spans="1:20" s="3" customFormat="1" ht="11.25">
      <c r="A35" s="9" t="s">
        <v>27</v>
      </c>
      <c r="B35" s="39">
        <v>11</v>
      </c>
      <c r="C35" s="40">
        <v>1</v>
      </c>
      <c r="D35" s="34">
        <f t="shared" si="0"/>
        <v>1.21</v>
      </c>
      <c r="E35" s="34">
        <v>0.22</v>
      </c>
      <c r="F35" s="34">
        <v>0.32</v>
      </c>
      <c r="G35" s="34">
        <v>0</v>
      </c>
      <c r="H35" s="34">
        <v>0.67</v>
      </c>
      <c r="I35" s="34">
        <v>0</v>
      </c>
      <c r="J35" s="34">
        <v>0</v>
      </c>
      <c r="K35" s="38">
        <f t="shared" si="1"/>
        <v>1.21</v>
      </c>
      <c r="L35" s="40"/>
      <c r="M35" s="40">
        <v>21</v>
      </c>
      <c r="N35" s="40">
        <v>0</v>
      </c>
      <c r="O35" s="36">
        <v>0</v>
      </c>
      <c r="P35" s="36">
        <v>2</v>
      </c>
      <c r="Q35" s="36">
        <v>1</v>
      </c>
      <c r="R35" s="36">
        <v>0</v>
      </c>
      <c r="S35" s="36">
        <v>1</v>
      </c>
      <c r="T35" s="36">
        <f t="shared" si="2"/>
        <v>22</v>
      </c>
    </row>
    <row r="36" spans="1:20" s="3" customFormat="1" ht="11.25">
      <c r="A36" s="9" t="s">
        <v>76</v>
      </c>
      <c r="B36" s="39">
        <v>331</v>
      </c>
      <c r="C36" s="40">
        <v>12</v>
      </c>
      <c r="D36" s="34">
        <f t="shared" si="0"/>
        <v>34.4</v>
      </c>
      <c r="E36" s="34">
        <v>2.1</v>
      </c>
      <c r="F36" s="34">
        <v>1.3</v>
      </c>
      <c r="G36" s="34">
        <v>8.4</v>
      </c>
      <c r="H36" s="34">
        <v>22.6</v>
      </c>
      <c r="I36" s="34">
        <v>4.7</v>
      </c>
      <c r="J36" s="34">
        <v>5.7</v>
      </c>
      <c r="K36" s="38">
        <f t="shared" si="1"/>
        <v>44.8</v>
      </c>
      <c r="L36" s="40"/>
      <c r="M36" s="40">
        <v>573</v>
      </c>
      <c r="N36" s="40">
        <v>0</v>
      </c>
      <c r="O36" s="36">
        <v>0</v>
      </c>
      <c r="P36" s="36">
        <v>0</v>
      </c>
      <c r="Q36" s="36">
        <v>0</v>
      </c>
      <c r="R36" s="36">
        <v>70</v>
      </c>
      <c r="S36" s="36">
        <v>21</v>
      </c>
      <c r="T36" s="36">
        <f t="shared" si="2"/>
        <v>594</v>
      </c>
    </row>
    <row r="37" spans="1:20" s="3" customFormat="1" ht="11.25">
      <c r="A37" s="9" t="s">
        <v>59</v>
      </c>
      <c r="B37" s="39">
        <v>48</v>
      </c>
      <c r="C37" s="40">
        <v>2</v>
      </c>
      <c r="D37" s="34">
        <f t="shared" si="0"/>
        <v>4.4</v>
      </c>
      <c r="E37" s="34">
        <v>0</v>
      </c>
      <c r="F37" s="34">
        <v>0</v>
      </c>
      <c r="G37" s="34">
        <v>1.3</v>
      </c>
      <c r="H37" s="34">
        <v>3.1</v>
      </c>
      <c r="I37" s="34">
        <v>1</v>
      </c>
      <c r="J37" s="34">
        <v>2</v>
      </c>
      <c r="K37" s="38">
        <f t="shared" si="1"/>
        <v>7.4</v>
      </c>
      <c r="L37" s="40"/>
      <c r="M37" s="40">
        <v>71</v>
      </c>
      <c r="N37" s="40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f t="shared" si="2"/>
        <v>71</v>
      </c>
    </row>
    <row r="38" spans="1:20" s="3" customFormat="1" ht="11.25">
      <c r="A38" s="9" t="s">
        <v>77</v>
      </c>
      <c r="B38" s="39">
        <v>56</v>
      </c>
      <c r="C38" s="40">
        <v>3</v>
      </c>
      <c r="D38" s="34">
        <f t="shared" si="0"/>
        <v>6.85</v>
      </c>
      <c r="E38" s="34">
        <v>0.15</v>
      </c>
      <c r="F38" s="34">
        <v>1.75</v>
      </c>
      <c r="G38" s="34">
        <v>1.37</v>
      </c>
      <c r="H38" s="34">
        <v>3.58</v>
      </c>
      <c r="I38" s="34">
        <v>0.3</v>
      </c>
      <c r="J38" s="34">
        <v>0.5</v>
      </c>
      <c r="K38" s="38">
        <f t="shared" si="1"/>
        <v>7.65</v>
      </c>
      <c r="L38" s="40"/>
      <c r="M38" s="40">
        <v>120</v>
      </c>
      <c r="N38" s="40">
        <v>0</v>
      </c>
      <c r="O38" s="36">
        <v>0</v>
      </c>
      <c r="P38" s="36">
        <v>0</v>
      </c>
      <c r="Q38" s="36">
        <v>0</v>
      </c>
      <c r="R38" s="36">
        <v>5</v>
      </c>
      <c r="S38" s="36">
        <v>5</v>
      </c>
      <c r="T38" s="36">
        <f t="shared" si="2"/>
        <v>125</v>
      </c>
    </row>
    <row r="39" spans="1:20" s="3" customFormat="1" ht="11.25">
      <c r="A39" s="9" t="s">
        <v>29</v>
      </c>
      <c r="B39" s="39">
        <v>79</v>
      </c>
      <c r="C39" s="40">
        <v>3</v>
      </c>
      <c r="D39" s="34">
        <f t="shared" si="0"/>
        <v>6.7</v>
      </c>
      <c r="E39" s="34">
        <v>0.36</v>
      </c>
      <c r="F39" s="34">
        <v>1.33</v>
      </c>
      <c r="G39" s="34">
        <v>3.98</v>
      </c>
      <c r="H39" s="34">
        <v>1.03</v>
      </c>
      <c r="I39" s="34">
        <v>0</v>
      </c>
      <c r="J39" s="34">
        <v>0</v>
      </c>
      <c r="K39" s="38">
        <f t="shared" si="1"/>
        <v>6.7</v>
      </c>
      <c r="L39" s="40"/>
      <c r="M39" s="40">
        <v>101</v>
      </c>
      <c r="N39" s="40">
        <v>0</v>
      </c>
      <c r="O39" s="36">
        <v>0</v>
      </c>
      <c r="P39" s="36">
        <v>0</v>
      </c>
      <c r="Q39" s="36">
        <v>0</v>
      </c>
      <c r="R39" s="36">
        <v>10</v>
      </c>
      <c r="S39" s="36">
        <v>0</v>
      </c>
      <c r="T39" s="36">
        <f t="shared" si="2"/>
        <v>101</v>
      </c>
    </row>
    <row r="40" spans="1:20" s="3" customFormat="1" ht="15.75" customHeight="1">
      <c r="A40" s="13" t="s">
        <v>67</v>
      </c>
      <c r="B40" s="37">
        <f>SUM(B33:B39)</f>
        <v>643</v>
      </c>
      <c r="C40" s="41">
        <f aca="true" t="shared" si="9" ref="C40:T40">SUM(C33:C39)</f>
        <v>26</v>
      </c>
      <c r="D40" s="34">
        <f t="shared" si="0"/>
        <v>66.3</v>
      </c>
      <c r="E40" s="41">
        <f t="shared" si="9"/>
        <v>3.5</v>
      </c>
      <c r="F40" s="41">
        <f t="shared" si="9"/>
        <v>7.5</v>
      </c>
      <c r="G40" s="41">
        <f t="shared" si="9"/>
        <v>22.6</v>
      </c>
      <c r="H40" s="41">
        <f t="shared" si="9"/>
        <v>32.7</v>
      </c>
      <c r="I40" s="41">
        <f t="shared" si="9"/>
        <v>8</v>
      </c>
      <c r="J40" s="41">
        <f t="shared" si="9"/>
        <v>12.3</v>
      </c>
      <c r="K40" s="38">
        <f t="shared" si="1"/>
        <v>86.6</v>
      </c>
      <c r="L40" s="41">
        <f t="shared" si="9"/>
        <v>0</v>
      </c>
      <c r="M40" s="41">
        <f t="shared" si="9"/>
        <v>1113</v>
      </c>
      <c r="N40" s="41">
        <f t="shared" si="9"/>
        <v>0</v>
      </c>
      <c r="O40" s="41">
        <f t="shared" si="9"/>
        <v>0</v>
      </c>
      <c r="P40" s="41">
        <f t="shared" si="9"/>
        <v>2</v>
      </c>
      <c r="Q40" s="41">
        <f t="shared" si="9"/>
        <v>1</v>
      </c>
      <c r="R40" s="41">
        <f t="shared" si="9"/>
        <v>105</v>
      </c>
      <c r="S40" s="41">
        <f t="shared" si="9"/>
        <v>27</v>
      </c>
      <c r="T40" s="41">
        <f t="shared" si="9"/>
        <v>1140</v>
      </c>
    </row>
    <row r="41" spans="1:20" s="4" customFormat="1" ht="11.25">
      <c r="A41" s="9" t="s">
        <v>20</v>
      </c>
      <c r="B41" s="33">
        <v>486</v>
      </c>
      <c r="C41" s="34">
        <v>20</v>
      </c>
      <c r="D41" s="34">
        <f t="shared" si="0"/>
        <v>53.04</v>
      </c>
      <c r="E41" s="34">
        <v>1.69</v>
      </c>
      <c r="F41" s="34">
        <v>12.9</v>
      </c>
      <c r="G41" s="34">
        <v>29.78</v>
      </c>
      <c r="H41" s="34">
        <v>8.67</v>
      </c>
      <c r="I41" s="34">
        <v>5.75</v>
      </c>
      <c r="J41" s="34">
        <v>8.5</v>
      </c>
      <c r="K41" s="38">
        <f t="shared" si="1"/>
        <v>67.29</v>
      </c>
      <c r="L41" s="35"/>
      <c r="M41" s="35">
        <v>928</v>
      </c>
      <c r="N41" s="35">
        <v>0</v>
      </c>
      <c r="O41" s="36">
        <v>0</v>
      </c>
      <c r="P41" s="36">
        <v>0</v>
      </c>
      <c r="Q41" s="36">
        <v>0</v>
      </c>
      <c r="R41" s="36">
        <v>80</v>
      </c>
      <c r="S41" s="36">
        <v>20</v>
      </c>
      <c r="T41" s="36">
        <f t="shared" si="2"/>
        <v>948</v>
      </c>
    </row>
    <row r="42" spans="1:20" s="4" customFormat="1" ht="11.25">
      <c r="A42" s="9" t="s">
        <v>61</v>
      </c>
      <c r="B42" s="33">
        <v>373</v>
      </c>
      <c r="C42" s="34">
        <v>15</v>
      </c>
      <c r="D42" s="34">
        <f t="shared" si="0"/>
        <v>24.23</v>
      </c>
      <c r="E42" s="34">
        <v>1.49</v>
      </c>
      <c r="F42" s="34">
        <v>5.65</v>
      </c>
      <c r="G42" s="34">
        <v>8.02</v>
      </c>
      <c r="H42" s="34">
        <v>9.07</v>
      </c>
      <c r="I42" s="34">
        <v>5</v>
      </c>
      <c r="J42" s="34">
        <v>9.75</v>
      </c>
      <c r="K42" s="38">
        <f t="shared" si="1"/>
        <v>38.98</v>
      </c>
      <c r="L42" s="35"/>
      <c r="M42" s="35">
        <v>414</v>
      </c>
      <c r="N42" s="35">
        <v>0</v>
      </c>
      <c r="O42" s="36">
        <v>0</v>
      </c>
      <c r="P42" s="36">
        <v>0</v>
      </c>
      <c r="Q42" s="36">
        <v>0</v>
      </c>
      <c r="R42" s="36">
        <v>65</v>
      </c>
      <c r="S42" s="36">
        <v>14</v>
      </c>
      <c r="T42" s="36">
        <f t="shared" si="2"/>
        <v>428</v>
      </c>
    </row>
    <row r="43" spans="1:20" s="4" customFormat="1" ht="11.25">
      <c r="A43" s="9" t="s">
        <v>59</v>
      </c>
      <c r="B43" s="33">
        <v>607</v>
      </c>
      <c r="C43" s="34">
        <v>25</v>
      </c>
      <c r="D43" s="34">
        <f t="shared" si="0"/>
        <v>72.5</v>
      </c>
      <c r="E43" s="34">
        <v>1</v>
      </c>
      <c r="F43" s="34">
        <v>20.3</v>
      </c>
      <c r="G43" s="34">
        <v>17.1</v>
      </c>
      <c r="H43" s="34">
        <v>34.1</v>
      </c>
      <c r="I43" s="34">
        <v>5</v>
      </c>
      <c r="J43" s="34">
        <v>13.2</v>
      </c>
      <c r="K43" s="38">
        <f t="shared" si="1"/>
        <v>90.7</v>
      </c>
      <c r="L43" s="35"/>
      <c r="M43" s="35">
        <v>1271</v>
      </c>
      <c r="N43" s="35">
        <v>0</v>
      </c>
      <c r="O43" s="36">
        <v>0</v>
      </c>
      <c r="P43" s="36">
        <v>0</v>
      </c>
      <c r="Q43" s="36">
        <v>0</v>
      </c>
      <c r="R43" s="36">
        <v>95</v>
      </c>
      <c r="S43" s="36">
        <v>30</v>
      </c>
      <c r="T43" s="36">
        <f t="shared" si="2"/>
        <v>1301</v>
      </c>
    </row>
    <row r="44" spans="1:20" s="4" customFormat="1" ht="11.25">
      <c r="A44" s="9" t="s">
        <v>60</v>
      </c>
      <c r="B44" s="33">
        <v>630</v>
      </c>
      <c r="C44" s="34">
        <v>23</v>
      </c>
      <c r="D44" s="34">
        <f t="shared" si="0"/>
        <v>67.1</v>
      </c>
      <c r="E44" s="34">
        <v>5.4</v>
      </c>
      <c r="F44" s="34">
        <v>14</v>
      </c>
      <c r="G44" s="34">
        <v>23.6</v>
      </c>
      <c r="H44" s="34">
        <v>24.1</v>
      </c>
      <c r="I44" s="34">
        <v>10.5</v>
      </c>
      <c r="J44" s="34">
        <v>11.5</v>
      </c>
      <c r="K44" s="38">
        <f t="shared" si="1"/>
        <v>89.1</v>
      </c>
      <c r="L44" s="35"/>
      <c r="M44" s="35">
        <v>1220</v>
      </c>
      <c r="N44" s="35">
        <v>0</v>
      </c>
      <c r="O44" s="36">
        <v>0</v>
      </c>
      <c r="P44" s="36">
        <v>0</v>
      </c>
      <c r="Q44" s="36">
        <v>0</v>
      </c>
      <c r="R44" s="36">
        <v>90</v>
      </c>
      <c r="S44" s="36">
        <v>17</v>
      </c>
      <c r="T44" s="36">
        <f t="shared" si="2"/>
        <v>1237</v>
      </c>
    </row>
    <row r="45" spans="1:20" s="4" customFormat="1" ht="11.25">
      <c r="A45" s="9" t="s">
        <v>27</v>
      </c>
      <c r="B45" s="33">
        <v>389</v>
      </c>
      <c r="C45" s="34">
        <v>16</v>
      </c>
      <c r="D45" s="34">
        <f t="shared" si="0"/>
        <v>37.87</v>
      </c>
      <c r="E45" s="34">
        <v>2.34</v>
      </c>
      <c r="F45" s="34">
        <v>5.41</v>
      </c>
      <c r="G45" s="34">
        <v>18.05</v>
      </c>
      <c r="H45" s="34">
        <v>12.07</v>
      </c>
      <c r="I45" s="34">
        <v>5</v>
      </c>
      <c r="J45" s="34">
        <v>10.25</v>
      </c>
      <c r="K45" s="38">
        <f t="shared" si="1"/>
        <v>53.12</v>
      </c>
      <c r="L45" s="35"/>
      <c r="M45" s="35">
        <v>692</v>
      </c>
      <c r="N45" s="35">
        <v>0</v>
      </c>
      <c r="O45" s="36">
        <v>0</v>
      </c>
      <c r="P45" s="36">
        <v>6</v>
      </c>
      <c r="Q45" s="36">
        <v>1</v>
      </c>
      <c r="R45" s="36">
        <v>48</v>
      </c>
      <c r="S45" s="36">
        <v>12</v>
      </c>
      <c r="T45" s="36">
        <f t="shared" si="2"/>
        <v>704</v>
      </c>
    </row>
    <row r="46" spans="1:20" s="3" customFormat="1" ht="11.25">
      <c r="A46" s="9" t="s">
        <v>63</v>
      </c>
      <c r="B46" s="39">
        <v>139</v>
      </c>
      <c r="C46" s="40">
        <v>6</v>
      </c>
      <c r="D46" s="34">
        <f t="shared" si="0"/>
        <v>23</v>
      </c>
      <c r="E46" s="34">
        <v>0</v>
      </c>
      <c r="F46" s="34">
        <v>1.5</v>
      </c>
      <c r="G46" s="34">
        <v>5.3</v>
      </c>
      <c r="H46" s="34">
        <v>16.2</v>
      </c>
      <c r="I46" s="34">
        <v>2.3</v>
      </c>
      <c r="J46" s="34">
        <v>4.7</v>
      </c>
      <c r="K46" s="38">
        <f t="shared" si="1"/>
        <v>30</v>
      </c>
      <c r="L46" s="35"/>
      <c r="M46" s="35">
        <v>370</v>
      </c>
      <c r="N46" s="35">
        <v>0</v>
      </c>
      <c r="O46" s="36">
        <v>0</v>
      </c>
      <c r="P46" s="36">
        <v>0</v>
      </c>
      <c r="Q46" s="36">
        <v>0</v>
      </c>
      <c r="R46" s="36">
        <v>43</v>
      </c>
      <c r="S46" s="36">
        <v>10</v>
      </c>
      <c r="T46" s="36">
        <f t="shared" si="2"/>
        <v>380</v>
      </c>
    </row>
    <row r="47" spans="1:20" s="4" customFormat="1" ht="11.25">
      <c r="A47" s="9" t="s">
        <v>28</v>
      </c>
      <c r="B47" s="33">
        <v>471</v>
      </c>
      <c r="C47" s="34">
        <v>20</v>
      </c>
      <c r="D47" s="34">
        <f t="shared" si="0"/>
        <v>37.02</v>
      </c>
      <c r="E47" s="34">
        <v>1.79</v>
      </c>
      <c r="F47" s="34">
        <v>11.01</v>
      </c>
      <c r="G47" s="34">
        <v>10.86</v>
      </c>
      <c r="H47" s="34">
        <v>13.36</v>
      </c>
      <c r="I47" s="34">
        <v>5.31</v>
      </c>
      <c r="J47" s="34">
        <v>12.28</v>
      </c>
      <c r="K47" s="38">
        <f t="shared" si="1"/>
        <v>54.61</v>
      </c>
      <c r="L47" s="35"/>
      <c r="M47" s="35">
        <v>647</v>
      </c>
      <c r="N47" s="35">
        <v>0</v>
      </c>
      <c r="O47" s="36">
        <v>0</v>
      </c>
      <c r="P47" s="36">
        <v>7</v>
      </c>
      <c r="Q47" s="36">
        <v>1</v>
      </c>
      <c r="R47" s="36">
        <v>85</v>
      </c>
      <c r="S47" s="36">
        <v>10</v>
      </c>
      <c r="T47" s="36">
        <f t="shared" si="2"/>
        <v>657</v>
      </c>
    </row>
    <row r="48" spans="1:20" s="3" customFormat="1" ht="11.25">
      <c r="A48" s="9" t="s">
        <v>29</v>
      </c>
      <c r="B48" s="39">
        <v>216</v>
      </c>
      <c r="C48" s="40">
        <v>10</v>
      </c>
      <c r="D48" s="34">
        <f t="shared" si="0"/>
        <v>20.31</v>
      </c>
      <c r="E48" s="34">
        <v>2.97</v>
      </c>
      <c r="F48" s="34">
        <v>3.2</v>
      </c>
      <c r="G48" s="34">
        <v>6.72</v>
      </c>
      <c r="H48" s="34">
        <v>7.42</v>
      </c>
      <c r="I48" s="34">
        <v>3.25</v>
      </c>
      <c r="J48" s="34">
        <v>7.67</v>
      </c>
      <c r="K48" s="38">
        <f t="shared" si="1"/>
        <v>31.23</v>
      </c>
      <c r="L48" s="35"/>
      <c r="M48" s="35">
        <v>319</v>
      </c>
      <c r="N48" s="35">
        <v>0</v>
      </c>
      <c r="O48" s="36">
        <v>0</v>
      </c>
      <c r="P48" s="36">
        <v>0</v>
      </c>
      <c r="Q48" s="36">
        <v>0</v>
      </c>
      <c r="R48" s="36">
        <v>90</v>
      </c>
      <c r="S48" s="36">
        <v>7</v>
      </c>
      <c r="T48" s="36">
        <f t="shared" si="2"/>
        <v>326</v>
      </c>
    </row>
    <row r="49" spans="1:20" s="4" customFormat="1" ht="11.25">
      <c r="A49" s="9" t="s">
        <v>30</v>
      </c>
      <c r="B49" s="33">
        <v>413</v>
      </c>
      <c r="C49" s="34">
        <v>18</v>
      </c>
      <c r="D49" s="34">
        <f t="shared" si="0"/>
        <v>40.3</v>
      </c>
      <c r="E49" s="34">
        <v>0.7</v>
      </c>
      <c r="F49" s="34">
        <v>2</v>
      </c>
      <c r="G49" s="34">
        <v>23.3</v>
      </c>
      <c r="H49" s="34">
        <v>14.3</v>
      </c>
      <c r="I49" s="34">
        <v>4</v>
      </c>
      <c r="J49" s="34">
        <v>11.5</v>
      </c>
      <c r="K49" s="38">
        <f t="shared" si="1"/>
        <v>55.8</v>
      </c>
      <c r="L49" s="35"/>
      <c r="M49" s="35">
        <v>721</v>
      </c>
      <c r="N49" s="35">
        <v>0</v>
      </c>
      <c r="O49" s="36">
        <v>0</v>
      </c>
      <c r="P49" s="36">
        <v>0</v>
      </c>
      <c r="Q49" s="36">
        <v>0</v>
      </c>
      <c r="R49" s="36">
        <v>50</v>
      </c>
      <c r="S49" s="36">
        <v>30</v>
      </c>
      <c r="T49" s="36">
        <f t="shared" si="2"/>
        <v>751</v>
      </c>
    </row>
    <row r="50" spans="1:20" s="4" customFormat="1" ht="11.25">
      <c r="A50" s="9" t="s">
        <v>23</v>
      </c>
      <c r="B50" s="33">
        <v>152</v>
      </c>
      <c r="C50" s="34">
        <v>7</v>
      </c>
      <c r="D50" s="34">
        <f t="shared" si="0"/>
        <v>8.6</v>
      </c>
      <c r="E50" s="34">
        <v>0.1</v>
      </c>
      <c r="F50" s="34">
        <v>1.5</v>
      </c>
      <c r="G50" s="34">
        <v>2.9</v>
      </c>
      <c r="H50" s="34">
        <v>4.1</v>
      </c>
      <c r="I50" s="34">
        <v>1.9</v>
      </c>
      <c r="J50" s="34">
        <v>4</v>
      </c>
      <c r="K50" s="38">
        <f t="shared" si="1"/>
        <v>14.5</v>
      </c>
      <c r="L50" s="35"/>
      <c r="M50" s="35">
        <v>157</v>
      </c>
      <c r="N50" s="35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f t="shared" si="2"/>
        <v>157</v>
      </c>
    </row>
    <row r="51" spans="1:20" s="4" customFormat="1" ht="11.25">
      <c r="A51" s="9" t="s">
        <v>62</v>
      </c>
      <c r="B51" s="33">
        <v>446</v>
      </c>
      <c r="C51" s="34">
        <v>16</v>
      </c>
      <c r="D51" s="34">
        <f t="shared" si="0"/>
        <v>42.01</v>
      </c>
      <c r="E51" s="34">
        <v>3.32</v>
      </c>
      <c r="F51" s="34">
        <v>11.6</v>
      </c>
      <c r="G51" s="34">
        <v>17.3</v>
      </c>
      <c r="H51" s="34">
        <v>9.79</v>
      </c>
      <c r="I51" s="34">
        <v>5</v>
      </c>
      <c r="J51" s="34">
        <v>10.5</v>
      </c>
      <c r="K51" s="38">
        <f t="shared" si="1"/>
        <v>57.51</v>
      </c>
      <c r="L51" s="35"/>
      <c r="M51" s="35">
        <v>738</v>
      </c>
      <c r="N51" s="35">
        <v>0</v>
      </c>
      <c r="O51" s="36">
        <v>0</v>
      </c>
      <c r="P51" s="36">
        <v>0</v>
      </c>
      <c r="Q51" s="36">
        <v>0</v>
      </c>
      <c r="R51" s="36">
        <v>85</v>
      </c>
      <c r="S51" s="36">
        <v>26</v>
      </c>
      <c r="T51" s="36">
        <f t="shared" si="2"/>
        <v>764</v>
      </c>
    </row>
    <row r="52" spans="1:20" s="4" customFormat="1" ht="11.25">
      <c r="A52" s="13" t="s">
        <v>65</v>
      </c>
      <c r="B52" s="37">
        <f>SUM(B41:B51)</f>
        <v>4322</v>
      </c>
      <c r="C52" s="38">
        <f aca="true" t="shared" si="10" ref="C52:T52">SUM(C41:C51)</f>
        <v>176</v>
      </c>
      <c r="D52" s="34">
        <f t="shared" si="0"/>
        <v>425.98</v>
      </c>
      <c r="E52" s="38">
        <f t="shared" si="10"/>
        <v>20.8</v>
      </c>
      <c r="F52" s="38">
        <f t="shared" si="10"/>
        <v>89.07</v>
      </c>
      <c r="G52" s="38">
        <f t="shared" si="10"/>
        <v>162.93</v>
      </c>
      <c r="H52" s="38">
        <f t="shared" si="10"/>
        <v>153.18</v>
      </c>
      <c r="I52" s="38">
        <f t="shared" si="10"/>
        <v>53.01</v>
      </c>
      <c r="J52" s="38">
        <f t="shared" si="10"/>
        <v>103.85</v>
      </c>
      <c r="K52" s="38">
        <f t="shared" si="1"/>
        <v>582.84</v>
      </c>
      <c r="L52" s="38">
        <f t="shared" si="10"/>
        <v>0</v>
      </c>
      <c r="M52" s="38">
        <f t="shared" si="10"/>
        <v>7477</v>
      </c>
      <c r="N52" s="38">
        <f t="shared" si="10"/>
        <v>0</v>
      </c>
      <c r="O52" s="38">
        <f t="shared" si="10"/>
        <v>0</v>
      </c>
      <c r="P52" s="38">
        <f t="shared" si="10"/>
        <v>13</v>
      </c>
      <c r="Q52" s="38">
        <f t="shared" si="10"/>
        <v>2</v>
      </c>
      <c r="R52" s="38">
        <f t="shared" si="10"/>
        <v>731</v>
      </c>
      <c r="S52" s="38">
        <f t="shared" si="10"/>
        <v>176</v>
      </c>
      <c r="T52" s="38">
        <f t="shared" si="10"/>
        <v>7653</v>
      </c>
    </row>
    <row r="53" spans="1:20" s="4" customFormat="1" ht="11.25">
      <c r="A53" s="13" t="s">
        <v>66</v>
      </c>
      <c r="B53" s="37">
        <v>268</v>
      </c>
      <c r="C53" s="38">
        <v>18.67</v>
      </c>
      <c r="D53" s="34">
        <f t="shared" si="0"/>
        <v>41.72</v>
      </c>
      <c r="E53" s="38">
        <v>0.9</v>
      </c>
      <c r="F53" s="38">
        <v>3.17</v>
      </c>
      <c r="G53" s="38">
        <v>19.07</v>
      </c>
      <c r="H53" s="38">
        <v>18.58</v>
      </c>
      <c r="I53" s="38">
        <v>2.83</v>
      </c>
      <c r="J53" s="38">
        <v>8.83</v>
      </c>
      <c r="K53" s="38">
        <f t="shared" si="1"/>
        <v>53.38</v>
      </c>
      <c r="L53" s="38"/>
      <c r="M53" s="38">
        <v>751</v>
      </c>
      <c r="N53" s="38">
        <v>0</v>
      </c>
      <c r="O53" s="46">
        <v>0</v>
      </c>
      <c r="P53" s="46">
        <v>0</v>
      </c>
      <c r="Q53" s="46">
        <v>0</v>
      </c>
      <c r="R53" s="46">
        <v>41</v>
      </c>
      <c r="S53" s="46">
        <v>12</v>
      </c>
      <c r="T53" s="46">
        <f t="shared" si="2"/>
        <v>763</v>
      </c>
    </row>
    <row r="54" spans="1:20" s="4" customFormat="1" ht="11.25">
      <c r="A54" s="16" t="s">
        <v>78</v>
      </c>
      <c r="B54" s="47">
        <v>33</v>
      </c>
      <c r="C54" s="38">
        <v>5</v>
      </c>
      <c r="D54" s="34">
        <f t="shared" si="0"/>
        <v>16.34</v>
      </c>
      <c r="E54" s="38">
        <v>0.15</v>
      </c>
      <c r="F54" s="38">
        <v>2.4</v>
      </c>
      <c r="G54" s="38">
        <v>7.47</v>
      </c>
      <c r="H54" s="38">
        <v>6.32</v>
      </c>
      <c r="I54" s="38">
        <v>0</v>
      </c>
      <c r="J54" s="38">
        <v>0</v>
      </c>
      <c r="K54" s="38">
        <f t="shared" si="1"/>
        <v>16.34</v>
      </c>
      <c r="L54" s="38"/>
      <c r="M54" s="38">
        <v>301</v>
      </c>
      <c r="N54" s="38">
        <v>0</v>
      </c>
      <c r="O54" s="46">
        <v>0</v>
      </c>
      <c r="P54" s="46">
        <v>31</v>
      </c>
      <c r="Q54" s="46">
        <v>4</v>
      </c>
      <c r="R54" s="46">
        <v>23</v>
      </c>
      <c r="S54" s="46">
        <v>2</v>
      </c>
      <c r="T54" s="36">
        <f t="shared" si="2"/>
        <v>303</v>
      </c>
    </row>
    <row r="55" spans="1:20" s="4" customFormat="1" ht="11.25">
      <c r="A55" s="16" t="s">
        <v>79</v>
      </c>
      <c r="B55" s="47">
        <v>32</v>
      </c>
      <c r="C55" s="38">
        <v>4</v>
      </c>
      <c r="D55" s="34">
        <f t="shared" si="0"/>
        <v>13.03</v>
      </c>
      <c r="E55" s="38">
        <v>0.67</v>
      </c>
      <c r="F55" s="38">
        <v>2.61</v>
      </c>
      <c r="G55" s="38">
        <v>7.23</v>
      </c>
      <c r="H55" s="38">
        <v>2.52</v>
      </c>
      <c r="I55" s="38">
        <v>0.25</v>
      </c>
      <c r="J55" s="38">
        <v>1</v>
      </c>
      <c r="K55" s="38">
        <f t="shared" si="1"/>
        <v>14.28</v>
      </c>
      <c r="L55" s="38"/>
      <c r="M55" s="38">
        <v>231</v>
      </c>
      <c r="N55" s="38">
        <v>0</v>
      </c>
      <c r="O55" s="46">
        <v>0</v>
      </c>
      <c r="P55" s="46">
        <v>52</v>
      </c>
      <c r="Q55" s="46">
        <v>5</v>
      </c>
      <c r="R55" s="46">
        <v>0</v>
      </c>
      <c r="S55" s="46">
        <v>0</v>
      </c>
      <c r="T55" s="36">
        <f t="shared" si="2"/>
        <v>231</v>
      </c>
    </row>
    <row r="56" spans="1:20" s="4" customFormat="1" ht="11.25">
      <c r="A56" s="16" t="s">
        <v>80</v>
      </c>
      <c r="B56" s="47">
        <v>47</v>
      </c>
      <c r="C56" s="38">
        <v>6</v>
      </c>
      <c r="D56" s="34">
        <f t="shared" si="0"/>
        <v>14.4</v>
      </c>
      <c r="E56" s="38">
        <v>0.36</v>
      </c>
      <c r="F56" s="38">
        <v>1.03</v>
      </c>
      <c r="G56" s="38">
        <v>5.16</v>
      </c>
      <c r="H56" s="38">
        <v>7.85</v>
      </c>
      <c r="I56" s="38">
        <v>2.75</v>
      </c>
      <c r="J56" s="38">
        <v>6.67</v>
      </c>
      <c r="K56" s="38">
        <f t="shared" si="1"/>
        <v>23.82</v>
      </c>
      <c r="L56" s="38"/>
      <c r="M56" s="38">
        <v>224</v>
      </c>
      <c r="N56" s="38">
        <v>0</v>
      </c>
      <c r="O56" s="46">
        <v>0</v>
      </c>
      <c r="P56" s="46">
        <v>0</v>
      </c>
      <c r="Q56" s="46">
        <v>0</v>
      </c>
      <c r="R56" s="46">
        <v>53</v>
      </c>
      <c r="S56" s="46">
        <v>6</v>
      </c>
      <c r="T56" s="36">
        <f t="shared" si="2"/>
        <v>230</v>
      </c>
    </row>
    <row r="57" spans="1:20" s="3" customFormat="1" ht="11.25">
      <c r="A57" s="13" t="s">
        <v>81</v>
      </c>
      <c r="B57" s="37">
        <f>SUM(B54:B56)</f>
        <v>112</v>
      </c>
      <c r="C57" s="38">
        <f aca="true" t="shared" si="11" ref="C57:T57">SUM(C54:C56)</f>
        <v>15</v>
      </c>
      <c r="D57" s="34">
        <f t="shared" si="0"/>
        <v>43.77</v>
      </c>
      <c r="E57" s="38">
        <f t="shared" si="11"/>
        <v>1.18</v>
      </c>
      <c r="F57" s="38">
        <f t="shared" si="11"/>
        <v>6.04</v>
      </c>
      <c r="G57" s="38">
        <f t="shared" si="11"/>
        <v>19.86</v>
      </c>
      <c r="H57" s="38">
        <f t="shared" si="11"/>
        <v>16.69</v>
      </c>
      <c r="I57" s="38">
        <f t="shared" si="11"/>
        <v>3</v>
      </c>
      <c r="J57" s="38">
        <f t="shared" si="11"/>
        <v>7.67</v>
      </c>
      <c r="K57" s="38">
        <f t="shared" si="1"/>
        <v>54.44</v>
      </c>
      <c r="L57" s="38">
        <f t="shared" si="11"/>
        <v>0</v>
      </c>
      <c r="M57" s="38">
        <f t="shared" si="11"/>
        <v>756</v>
      </c>
      <c r="N57" s="38">
        <f t="shared" si="11"/>
        <v>0</v>
      </c>
      <c r="O57" s="38">
        <f t="shared" si="11"/>
        <v>0</v>
      </c>
      <c r="P57" s="38">
        <f t="shared" si="11"/>
        <v>83</v>
      </c>
      <c r="Q57" s="38">
        <f t="shared" si="11"/>
        <v>9</v>
      </c>
      <c r="R57" s="38">
        <f t="shared" si="11"/>
        <v>76</v>
      </c>
      <c r="S57" s="38">
        <f t="shared" si="11"/>
        <v>8</v>
      </c>
      <c r="T57" s="38">
        <f t="shared" si="11"/>
        <v>764</v>
      </c>
    </row>
    <row r="58" spans="1:20" s="3" customFormat="1" ht="21.75">
      <c r="A58" s="17" t="s">
        <v>82</v>
      </c>
      <c r="B58" s="33">
        <v>33</v>
      </c>
      <c r="C58" s="34">
        <v>1</v>
      </c>
      <c r="D58" s="34">
        <f t="shared" si="0"/>
        <v>2.12</v>
      </c>
      <c r="E58" s="34">
        <v>0.05</v>
      </c>
      <c r="F58" s="34">
        <v>1.12</v>
      </c>
      <c r="G58" s="34">
        <v>0.68</v>
      </c>
      <c r="H58" s="34">
        <v>0.27</v>
      </c>
      <c r="I58" s="34">
        <v>0.15</v>
      </c>
      <c r="J58" s="34">
        <v>0</v>
      </c>
      <c r="K58" s="38">
        <f t="shared" si="1"/>
        <v>2.27</v>
      </c>
      <c r="L58" s="35"/>
      <c r="M58" s="35">
        <v>38</v>
      </c>
      <c r="N58" s="35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46">
        <f t="shared" si="2"/>
        <v>38</v>
      </c>
    </row>
    <row r="59" spans="1:20" s="3" customFormat="1" ht="21.75">
      <c r="A59" s="17" t="s">
        <v>83</v>
      </c>
      <c r="B59" s="33">
        <v>0</v>
      </c>
      <c r="C59" s="34">
        <v>0</v>
      </c>
      <c r="D59" s="34">
        <f t="shared" si="0"/>
        <v>8.1</v>
      </c>
      <c r="E59" s="34">
        <v>0</v>
      </c>
      <c r="F59" s="34">
        <v>0</v>
      </c>
      <c r="G59" s="34">
        <v>0</v>
      </c>
      <c r="H59" s="34">
        <v>8.1</v>
      </c>
      <c r="I59" s="34">
        <v>2</v>
      </c>
      <c r="J59" s="34">
        <v>0</v>
      </c>
      <c r="K59" s="38">
        <f t="shared" si="1"/>
        <v>10.1</v>
      </c>
      <c r="L59" s="35"/>
      <c r="M59" s="35">
        <v>0</v>
      </c>
      <c r="N59" s="35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46">
        <v>0</v>
      </c>
    </row>
    <row r="60" spans="1:20" s="20" customFormat="1" ht="11.25">
      <c r="A60" s="17" t="s">
        <v>87</v>
      </c>
      <c r="B60" s="48">
        <f>B9+B14+B29+B30+B32+B40+B52+B53+B57+B58+B59</f>
        <v>11806</v>
      </c>
      <c r="C60" s="49">
        <f aca="true" t="shared" si="12" ref="C60:T60">C9+C14+C29+C30+C32+C40+C52+C53+C57+C58+C59</f>
        <v>500</v>
      </c>
      <c r="D60" s="34">
        <f t="shared" si="0"/>
        <v>1300</v>
      </c>
      <c r="E60" s="49">
        <f t="shared" si="12"/>
        <v>49</v>
      </c>
      <c r="F60" s="49">
        <f t="shared" si="12"/>
        <v>207</v>
      </c>
      <c r="G60" s="49">
        <f t="shared" si="12"/>
        <v>532</v>
      </c>
      <c r="H60" s="49">
        <f t="shared" si="12"/>
        <v>512</v>
      </c>
      <c r="I60" s="49">
        <f t="shared" si="12"/>
        <v>127</v>
      </c>
      <c r="J60" s="49">
        <f t="shared" si="12"/>
        <v>275</v>
      </c>
      <c r="K60" s="38">
        <f t="shared" si="1"/>
        <v>1702</v>
      </c>
      <c r="L60" s="49">
        <f t="shared" si="12"/>
        <v>0</v>
      </c>
      <c r="M60" s="49">
        <f t="shared" si="12"/>
        <v>22416</v>
      </c>
      <c r="N60" s="49">
        <f t="shared" si="12"/>
        <v>238</v>
      </c>
      <c r="O60" s="49">
        <f t="shared" si="12"/>
        <v>206</v>
      </c>
      <c r="P60" s="49">
        <f t="shared" si="12"/>
        <v>667</v>
      </c>
      <c r="Q60" s="49">
        <f t="shared" si="12"/>
        <v>81</v>
      </c>
      <c r="R60" s="49">
        <f t="shared" si="12"/>
        <v>2160</v>
      </c>
      <c r="S60" s="49">
        <f t="shared" si="12"/>
        <v>698</v>
      </c>
      <c r="T60" s="49">
        <f t="shared" si="12"/>
        <v>23060</v>
      </c>
    </row>
    <row r="61" spans="1:20" s="3" customFormat="1" ht="21.75">
      <c r="A61" s="17" t="s">
        <v>84</v>
      </c>
      <c r="B61" s="50">
        <v>100</v>
      </c>
      <c r="C61" s="51">
        <v>0</v>
      </c>
      <c r="D61" s="34">
        <f t="shared" si="0"/>
        <v>3.79</v>
      </c>
      <c r="E61" s="51">
        <v>0</v>
      </c>
      <c r="F61" s="51">
        <v>0.71</v>
      </c>
      <c r="G61" s="51">
        <v>1.27</v>
      </c>
      <c r="H61" s="51">
        <v>1.81</v>
      </c>
      <c r="I61" s="51">
        <v>2</v>
      </c>
      <c r="J61" s="51">
        <v>1</v>
      </c>
      <c r="K61" s="38">
        <f t="shared" si="1"/>
        <v>6.79</v>
      </c>
      <c r="L61" s="51"/>
      <c r="M61" s="51">
        <v>64</v>
      </c>
      <c r="N61" s="51">
        <v>0</v>
      </c>
      <c r="O61" s="51">
        <v>0</v>
      </c>
      <c r="P61" s="51">
        <v>0</v>
      </c>
      <c r="Q61" s="51">
        <v>0</v>
      </c>
      <c r="R61" s="51">
        <v>20</v>
      </c>
      <c r="S61" s="51">
        <v>10</v>
      </c>
      <c r="T61" s="36">
        <f t="shared" si="2"/>
        <v>74</v>
      </c>
    </row>
    <row r="62" spans="1:20" s="3" customFormat="1" ht="11.25">
      <c r="A62" s="16" t="s">
        <v>31</v>
      </c>
      <c r="B62" s="52">
        <v>20</v>
      </c>
      <c r="C62" s="34">
        <v>3</v>
      </c>
      <c r="D62" s="34">
        <f t="shared" si="0"/>
        <v>10.06</v>
      </c>
      <c r="E62" s="34">
        <v>2.11</v>
      </c>
      <c r="F62" s="34">
        <v>5.38</v>
      </c>
      <c r="G62" s="34">
        <v>2.57</v>
      </c>
      <c r="H62" s="34">
        <v>0</v>
      </c>
      <c r="I62" s="34">
        <v>1.5</v>
      </c>
      <c r="J62" s="34">
        <v>5.5</v>
      </c>
      <c r="K62" s="38">
        <f t="shared" si="1"/>
        <v>17.06</v>
      </c>
      <c r="L62" s="35"/>
      <c r="M62" s="35">
        <v>226</v>
      </c>
      <c r="N62" s="35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f t="shared" si="2"/>
        <v>226</v>
      </c>
    </row>
    <row r="63" spans="1:20" s="3" customFormat="1" ht="11.25">
      <c r="A63" s="16" t="s">
        <v>32</v>
      </c>
      <c r="B63" s="52">
        <v>10</v>
      </c>
      <c r="C63" s="34">
        <v>1</v>
      </c>
      <c r="D63" s="34">
        <f t="shared" si="0"/>
        <v>6.01</v>
      </c>
      <c r="E63" s="34">
        <v>0</v>
      </c>
      <c r="F63" s="34">
        <v>1.09</v>
      </c>
      <c r="G63" s="34">
        <v>4.92</v>
      </c>
      <c r="H63" s="34">
        <v>0</v>
      </c>
      <c r="I63" s="34">
        <v>1.46</v>
      </c>
      <c r="J63" s="34">
        <v>4.25</v>
      </c>
      <c r="K63" s="38">
        <f t="shared" si="1"/>
        <v>11.72</v>
      </c>
      <c r="L63" s="35"/>
      <c r="M63" s="35">
        <v>134</v>
      </c>
      <c r="N63" s="35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f t="shared" si="2"/>
        <v>134</v>
      </c>
    </row>
    <row r="64" spans="1:20" s="3" customFormat="1" ht="11.25">
      <c r="A64" s="13" t="s">
        <v>33</v>
      </c>
      <c r="B64" s="42">
        <f>B62+B63</f>
        <v>30</v>
      </c>
      <c r="C64" s="43">
        <f aca="true" t="shared" si="13" ref="C64:T64">C62+C63</f>
        <v>4</v>
      </c>
      <c r="D64" s="34">
        <f t="shared" si="0"/>
        <v>15</v>
      </c>
      <c r="E64" s="43">
        <f t="shared" si="13"/>
        <v>2</v>
      </c>
      <c r="F64" s="43">
        <f t="shared" si="13"/>
        <v>6</v>
      </c>
      <c r="G64" s="43">
        <f t="shared" si="13"/>
        <v>7</v>
      </c>
      <c r="H64" s="43">
        <f t="shared" si="13"/>
        <v>0</v>
      </c>
      <c r="I64" s="43">
        <f t="shared" si="13"/>
        <v>3</v>
      </c>
      <c r="J64" s="43">
        <f t="shared" si="13"/>
        <v>10</v>
      </c>
      <c r="K64" s="38">
        <f t="shared" si="1"/>
        <v>28</v>
      </c>
      <c r="L64" s="43">
        <f t="shared" si="13"/>
        <v>0</v>
      </c>
      <c r="M64" s="43">
        <f t="shared" si="13"/>
        <v>360</v>
      </c>
      <c r="N64" s="43">
        <f t="shared" si="13"/>
        <v>0</v>
      </c>
      <c r="O64" s="43">
        <f t="shared" si="13"/>
        <v>0</v>
      </c>
      <c r="P64" s="43">
        <f t="shared" si="13"/>
        <v>0</v>
      </c>
      <c r="Q64" s="43">
        <f t="shared" si="13"/>
        <v>0</v>
      </c>
      <c r="R64" s="43">
        <f t="shared" si="13"/>
        <v>0</v>
      </c>
      <c r="S64" s="43">
        <f t="shared" si="13"/>
        <v>0</v>
      </c>
      <c r="T64" s="43">
        <f t="shared" si="13"/>
        <v>360</v>
      </c>
    </row>
    <row r="65" spans="1:20" s="3" customFormat="1" ht="11.25">
      <c r="A65" s="16" t="s">
        <v>34</v>
      </c>
      <c r="B65" s="53">
        <f>2459+2075</f>
        <v>4534</v>
      </c>
      <c r="C65" s="54">
        <v>0</v>
      </c>
      <c r="D65" s="34">
        <f t="shared" si="0"/>
        <v>20.33</v>
      </c>
      <c r="E65" s="54">
        <v>2.08</v>
      </c>
      <c r="F65" s="54">
        <v>0.58</v>
      </c>
      <c r="G65" s="54">
        <v>6</v>
      </c>
      <c r="H65" s="54">
        <v>11.67</v>
      </c>
      <c r="I65" s="54">
        <v>3</v>
      </c>
      <c r="J65" s="54">
        <v>1.35</v>
      </c>
      <c r="K65" s="38">
        <f t="shared" si="1"/>
        <v>24.68</v>
      </c>
      <c r="L65" s="54"/>
      <c r="M65" s="54">
        <v>391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36">
        <f t="shared" si="2"/>
        <v>391</v>
      </c>
    </row>
    <row r="66" spans="1:20" s="3" customFormat="1" ht="11.25">
      <c r="A66" s="16" t="s">
        <v>35</v>
      </c>
      <c r="B66" s="53">
        <f>4699+3227</f>
        <v>7926</v>
      </c>
      <c r="C66" s="34">
        <v>0</v>
      </c>
      <c r="D66" s="34">
        <f t="shared" si="0"/>
        <v>18.17</v>
      </c>
      <c r="E66" s="34">
        <v>0.5</v>
      </c>
      <c r="F66" s="34">
        <v>2</v>
      </c>
      <c r="G66" s="34">
        <v>0</v>
      </c>
      <c r="H66" s="34">
        <v>15.67</v>
      </c>
      <c r="I66" s="34">
        <v>2.87</v>
      </c>
      <c r="J66" s="34">
        <v>1.75</v>
      </c>
      <c r="K66" s="38">
        <f t="shared" si="1"/>
        <v>22.79</v>
      </c>
      <c r="L66" s="34"/>
      <c r="M66" s="34">
        <v>347</v>
      </c>
      <c r="N66" s="34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f t="shared" si="2"/>
        <v>347</v>
      </c>
    </row>
    <row r="67" spans="1:20" s="3" customFormat="1" ht="11.25">
      <c r="A67" s="16" t="s">
        <v>36</v>
      </c>
      <c r="B67" s="55">
        <f>3908+1589</f>
        <v>5497</v>
      </c>
      <c r="C67" s="56">
        <v>0</v>
      </c>
      <c r="D67" s="34">
        <f t="shared" si="0"/>
        <v>16.99</v>
      </c>
      <c r="E67" s="54">
        <v>0.33</v>
      </c>
      <c r="F67" s="54">
        <v>1.33</v>
      </c>
      <c r="G67" s="54">
        <v>2.33</v>
      </c>
      <c r="H67" s="54">
        <v>13</v>
      </c>
      <c r="I67" s="54">
        <v>2.55</v>
      </c>
      <c r="J67" s="54">
        <v>1.1</v>
      </c>
      <c r="K67" s="38">
        <f t="shared" si="1"/>
        <v>20.64</v>
      </c>
      <c r="L67" s="57"/>
      <c r="M67" s="57">
        <v>311</v>
      </c>
      <c r="N67" s="57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f t="shared" si="2"/>
        <v>311</v>
      </c>
    </row>
    <row r="68" spans="1:20" s="3" customFormat="1" ht="11.25">
      <c r="A68" s="13" t="s">
        <v>37</v>
      </c>
      <c r="B68" s="37">
        <f>B65+B66+B67</f>
        <v>17957</v>
      </c>
      <c r="C68" s="31">
        <f>C65+C66+C67</f>
        <v>0</v>
      </c>
      <c r="D68" s="34">
        <f t="shared" si="0"/>
        <v>55.49</v>
      </c>
      <c r="E68" s="34">
        <f aca="true" t="shared" si="14" ref="E68:J68">SUM(E65:E67)</f>
        <v>2.91</v>
      </c>
      <c r="F68" s="34">
        <f t="shared" si="14"/>
        <v>3.91</v>
      </c>
      <c r="G68" s="34">
        <f t="shared" si="14"/>
        <v>8.33</v>
      </c>
      <c r="H68" s="34">
        <f t="shared" si="14"/>
        <v>40.34</v>
      </c>
      <c r="I68" s="34">
        <f t="shared" si="14"/>
        <v>8.42</v>
      </c>
      <c r="J68" s="34">
        <f t="shared" si="14"/>
        <v>4.2</v>
      </c>
      <c r="K68" s="38">
        <f t="shared" si="1"/>
        <v>68.11</v>
      </c>
      <c r="L68" s="31">
        <f aca="true" t="shared" si="15" ref="L68:T68">L65+L66+L67</f>
        <v>0</v>
      </c>
      <c r="M68" s="31">
        <f t="shared" si="15"/>
        <v>1049</v>
      </c>
      <c r="N68" s="31">
        <f t="shared" si="15"/>
        <v>0</v>
      </c>
      <c r="O68" s="31">
        <f t="shared" si="15"/>
        <v>0</v>
      </c>
      <c r="P68" s="31">
        <f t="shared" si="15"/>
        <v>0</v>
      </c>
      <c r="Q68" s="31">
        <f t="shared" si="15"/>
        <v>0</v>
      </c>
      <c r="R68" s="31">
        <f t="shared" si="15"/>
        <v>0</v>
      </c>
      <c r="S68" s="31">
        <f t="shared" si="15"/>
        <v>0</v>
      </c>
      <c r="T68" s="31">
        <f t="shared" si="15"/>
        <v>1049</v>
      </c>
    </row>
    <row r="69" spans="1:20" s="3" customFormat="1" ht="11.25">
      <c r="A69" s="13" t="s">
        <v>85</v>
      </c>
      <c r="B69" s="33">
        <v>764</v>
      </c>
      <c r="C69" s="34">
        <v>82</v>
      </c>
      <c r="D69" s="34">
        <f t="shared" si="0"/>
        <v>17.62</v>
      </c>
      <c r="E69" s="34">
        <v>2.13</v>
      </c>
      <c r="F69" s="34">
        <v>6.16</v>
      </c>
      <c r="G69" s="34">
        <v>3.49</v>
      </c>
      <c r="H69" s="34">
        <v>5.84</v>
      </c>
      <c r="I69" s="34">
        <v>3.25</v>
      </c>
      <c r="J69" s="34">
        <v>6.25</v>
      </c>
      <c r="K69" s="38">
        <f t="shared" si="1"/>
        <v>27.12</v>
      </c>
      <c r="L69" s="35"/>
      <c r="M69" s="35">
        <v>289</v>
      </c>
      <c r="N69" s="35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f t="shared" si="2"/>
        <v>289</v>
      </c>
    </row>
    <row r="70" spans="1:20" s="4" customFormat="1" ht="11.25">
      <c r="A70" s="16" t="s">
        <v>3</v>
      </c>
      <c r="B70" s="58">
        <v>130</v>
      </c>
      <c r="C70" s="59">
        <v>3</v>
      </c>
      <c r="D70" s="34">
        <f t="shared" si="0"/>
        <v>9.11</v>
      </c>
      <c r="E70" s="59">
        <v>1.11</v>
      </c>
      <c r="F70" s="59">
        <v>3</v>
      </c>
      <c r="G70" s="59">
        <v>3</v>
      </c>
      <c r="H70" s="59">
        <v>2</v>
      </c>
      <c r="I70" s="59">
        <v>2.29</v>
      </c>
      <c r="J70" s="59">
        <v>9.25</v>
      </c>
      <c r="K70" s="38">
        <f t="shared" si="1"/>
        <v>20.65</v>
      </c>
      <c r="L70" s="59"/>
      <c r="M70" s="59">
        <v>252</v>
      </c>
      <c r="N70" s="59">
        <v>0</v>
      </c>
      <c r="O70" s="59">
        <v>0</v>
      </c>
      <c r="P70" s="59">
        <v>0</v>
      </c>
      <c r="Q70" s="60">
        <v>0</v>
      </c>
      <c r="R70" s="59">
        <v>0</v>
      </c>
      <c r="S70" s="59">
        <v>0</v>
      </c>
      <c r="T70" s="36">
        <f>M70+S70</f>
        <v>252</v>
      </c>
    </row>
    <row r="71" spans="1:20" s="4" customFormat="1" ht="11.25">
      <c r="A71" s="16" t="s">
        <v>26</v>
      </c>
      <c r="B71" s="61">
        <v>83</v>
      </c>
      <c r="C71" s="12">
        <v>3</v>
      </c>
      <c r="D71" s="34">
        <f>E71+F71+G71+H71</f>
        <v>6.04</v>
      </c>
      <c r="E71" s="36">
        <v>0</v>
      </c>
      <c r="F71" s="36">
        <v>2.75</v>
      </c>
      <c r="G71" s="36">
        <v>2.96</v>
      </c>
      <c r="H71" s="36">
        <v>0.33</v>
      </c>
      <c r="I71" s="36">
        <v>3</v>
      </c>
      <c r="J71" s="36">
        <v>11.92</v>
      </c>
      <c r="K71" s="38">
        <f>J71+I71+D71</f>
        <v>20.96</v>
      </c>
      <c r="L71" s="36"/>
      <c r="M71" s="36">
        <v>160</v>
      </c>
      <c r="N71" s="36">
        <v>0</v>
      </c>
      <c r="O71" s="36">
        <v>0</v>
      </c>
      <c r="P71" s="36">
        <v>0</v>
      </c>
      <c r="Q71" s="36">
        <v>0</v>
      </c>
      <c r="R71" s="36">
        <v>10</v>
      </c>
      <c r="S71" s="36">
        <v>0</v>
      </c>
      <c r="T71" s="36">
        <f>M71+S71</f>
        <v>160</v>
      </c>
    </row>
    <row r="72" spans="1:20" s="4" customFormat="1" ht="11.25">
      <c r="A72" s="13" t="s">
        <v>38</v>
      </c>
      <c r="B72" s="62">
        <f aca="true" t="shared" si="16" ref="B72:T72">SUM(B70:B71)</f>
        <v>213</v>
      </c>
      <c r="C72" s="46">
        <f t="shared" si="16"/>
        <v>6</v>
      </c>
      <c r="D72" s="46">
        <f t="shared" si="16"/>
        <v>15.15</v>
      </c>
      <c r="E72" s="46">
        <f t="shared" si="16"/>
        <v>1.11</v>
      </c>
      <c r="F72" s="46">
        <f t="shared" si="16"/>
        <v>5.75</v>
      </c>
      <c r="G72" s="46">
        <f t="shared" si="16"/>
        <v>5.96</v>
      </c>
      <c r="H72" s="46">
        <f t="shared" si="16"/>
        <v>2.33</v>
      </c>
      <c r="I72" s="46">
        <f t="shared" si="16"/>
        <v>5.29</v>
      </c>
      <c r="J72" s="46">
        <f t="shared" si="16"/>
        <v>21.17</v>
      </c>
      <c r="K72" s="46">
        <f t="shared" si="16"/>
        <v>41.61</v>
      </c>
      <c r="L72" s="46">
        <f t="shared" si="16"/>
        <v>0</v>
      </c>
      <c r="M72" s="46">
        <f t="shared" si="16"/>
        <v>412</v>
      </c>
      <c r="N72" s="46">
        <f t="shared" si="16"/>
        <v>0</v>
      </c>
      <c r="O72" s="46">
        <f t="shared" si="16"/>
        <v>0</v>
      </c>
      <c r="P72" s="46">
        <f t="shared" si="16"/>
        <v>0</v>
      </c>
      <c r="Q72" s="46">
        <f t="shared" si="16"/>
        <v>0</v>
      </c>
      <c r="R72" s="46">
        <f t="shared" si="16"/>
        <v>10</v>
      </c>
      <c r="S72" s="46">
        <f t="shared" si="16"/>
        <v>0</v>
      </c>
      <c r="T72" s="46">
        <f t="shared" si="16"/>
        <v>412</v>
      </c>
    </row>
    <row r="73" spans="1:20" s="4" customFormat="1" ht="21.75">
      <c r="A73" s="17" t="s">
        <v>86</v>
      </c>
      <c r="B73" s="61">
        <v>0</v>
      </c>
      <c r="C73" s="12">
        <v>0</v>
      </c>
      <c r="D73" s="34">
        <f>E73+F73+G73+H73</f>
        <v>1</v>
      </c>
      <c r="E73" s="36">
        <v>0</v>
      </c>
      <c r="F73" s="36">
        <v>0</v>
      </c>
      <c r="G73" s="36">
        <v>1</v>
      </c>
      <c r="H73" s="36">
        <v>0</v>
      </c>
      <c r="I73" s="36">
        <v>5.5</v>
      </c>
      <c r="J73" s="36">
        <v>4</v>
      </c>
      <c r="K73" s="38">
        <f>J73+I73+D73</f>
        <v>10.5</v>
      </c>
      <c r="L73" s="36"/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f>M73+S73</f>
        <v>0</v>
      </c>
    </row>
    <row r="74" spans="1:20" s="22" customFormat="1" ht="11.25">
      <c r="A74" s="13" t="s">
        <v>11</v>
      </c>
      <c r="B74" s="63">
        <f>B73+B72+B69+B68+B64+B61+B59+B58+B57+B53+B52+B40+B32+B29+B14+B9</f>
        <v>30854</v>
      </c>
      <c r="C74" s="63">
        <f aca="true" t="shared" si="17" ref="C74:T74">C73+C72+C69+C68+C64+C61+C59+C58+C57+C53+C52+C40+C32+C29+C14+C9</f>
        <v>588.67</v>
      </c>
      <c r="D74" s="63">
        <f t="shared" si="17"/>
        <v>1401.55</v>
      </c>
      <c r="E74" s="63">
        <f t="shared" si="17"/>
        <v>57.44</v>
      </c>
      <c r="F74" s="63">
        <f t="shared" si="17"/>
        <v>228.42</v>
      </c>
      <c r="G74" s="63">
        <f t="shared" si="17"/>
        <v>557.1</v>
      </c>
      <c r="H74" s="63">
        <f t="shared" si="17"/>
        <v>558.59</v>
      </c>
      <c r="I74" s="63">
        <f t="shared" si="17"/>
        <v>154.75</v>
      </c>
      <c r="J74" s="63">
        <f t="shared" si="17"/>
        <v>321.61</v>
      </c>
      <c r="K74" s="63">
        <f t="shared" si="17"/>
        <v>1877.91</v>
      </c>
      <c r="L74" s="63">
        <f t="shared" si="17"/>
        <v>0</v>
      </c>
      <c r="M74" s="63">
        <f t="shared" si="17"/>
        <v>24477</v>
      </c>
      <c r="N74" s="63">
        <f t="shared" si="17"/>
        <v>238</v>
      </c>
      <c r="O74" s="63">
        <f t="shared" si="17"/>
        <v>206</v>
      </c>
      <c r="P74" s="63">
        <f t="shared" si="17"/>
        <v>661</v>
      </c>
      <c r="Q74" s="63">
        <f t="shared" si="17"/>
        <v>80</v>
      </c>
      <c r="R74" s="63">
        <f t="shared" si="17"/>
        <v>2190</v>
      </c>
      <c r="S74" s="63">
        <f t="shared" si="17"/>
        <v>703</v>
      </c>
      <c r="T74" s="63">
        <f t="shared" si="17"/>
        <v>25126</v>
      </c>
    </row>
  </sheetData>
  <mergeCells count="9">
    <mergeCell ref="A2:T2"/>
    <mergeCell ref="S4:S5"/>
    <mergeCell ref="T3:T5"/>
    <mergeCell ref="A3:A5"/>
    <mergeCell ref="N3:S3"/>
    <mergeCell ref="M4:R4"/>
    <mergeCell ref="D4:H4"/>
    <mergeCell ref="B4:B5"/>
    <mergeCell ref="C4:C5"/>
  </mergeCells>
  <printOptions horizontalCentered="1"/>
  <pageMargins left="0.3" right="0.31" top="0.83" bottom="0.3937007874015748" header="0.7874015748031497" footer="0.26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75"/>
  <sheetViews>
    <sheetView tabSelected="1" workbookViewId="0" topLeftCell="A1">
      <pane ySplit="7" topLeftCell="BM8" activePane="bottomLeft" state="frozen"/>
      <selection pane="topLeft" activeCell="A1" sqref="A1"/>
      <selection pane="bottomLeft" activeCell="K57" sqref="K57"/>
    </sheetView>
  </sheetViews>
  <sheetFormatPr defaultColWidth="9.00390625" defaultRowHeight="12.75"/>
  <cols>
    <col min="1" max="1" width="10.75390625" style="0" customWidth="1"/>
    <col min="2" max="2" width="7.00390625" style="0" customWidth="1"/>
    <col min="3" max="3" width="7.125" style="0" customWidth="1"/>
    <col min="4" max="4" width="6.00390625" style="0" customWidth="1"/>
    <col min="5" max="5" width="6.875" style="0" customWidth="1"/>
    <col min="6" max="7" width="6.00390625" style="0" customWidth="1"/>
    <col min="8" max="8" width="5.625" style="0" customWidth="1"/>
    <col min="9" max="9" width="6.125" style="0" customWidth="1"/>
    <col min="10" max="10" width="8.625" style="195" customWidth="1"/>
    <col min="11" max="11" width="10.625" style="262" customWidth="1"/>
    <col min="12" max="12" width="6.75390625" style="262" customWidth="1"/>
    <col min="13" max="13" width="9.25390625" style="262" customWidth="1"/>
    <col min="14" max="14" width="5.875" style="0" customWidth="1"/>
  </cols>
  <sheetData>
    <row r="2" spans="1:14" s="93" customFormat="1" ht="32.25" customHeight="1">
      <c r="A2" s="292" t="s">
        <v>249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14" s="93" customFormat="1" ht="18.75" customHeight="1">
      <c r="A3" s="240"/>
      <c r="B3" s="241"/>
      <c r="C3" s="242"/>
      <c r="D3" s="243"/>
      <c r="E3" s="243"/>
      <c r="F3" s="243"/>
      <c r="G3" s="243"/>
      <c r="H3" s="243"/>
      <c r="I3" s="243"/>
      <c r="J3" s="240"/>
      <c r="K3" s="244"/>
      <c r="L3" s="244"/>
      <c r="M3" s="244"/>
      <c r="N3" s="243"/>
    </row>
    <row r="4" spans="1:14" s="90" customFormat="1" ht="12.75" customHeight="1">
      <c r="A4" s="299" t="s">
        <v>250</v>
      </c>
      <c r="B4" s="299" t="s">
        <v>251</v>
      </c>
      <c r="C4" s="299" t="s">
        <v>252</v>
      </c>
      <c r="D4" s="289" t="s">
        <v>253</v>
      </c>
      <c r="E4" s="289" t="s">
        <v>254</v>
      </c>
      <c r="F4" s="289" t="s">
        <v>255</v>
      </c>
      <c r="G4" s="289"/>
      <c r="H4" s="289"/>
      <c r="I4" s="289"/>
      <c r="J4" s="293" t="s">
        <v>256</v>
      </c>
      <c r="K4" s="294"/>
      <c r="L4" s="293" t="s">
        <v>257</v>
      </c>
      <c r="M4" s="294"/>
      <c r="N4" s="300" t="s">
        <v>258</v>
      </c>
    </row>
    <row r="5" spans="1:14" s="90" customFormat="1" ht="13.5" customHeight="1">
      <c r="A5" s="289"/>
      <c r="B5" s="289"/>
      <c r="C5" s="289"/>
      <c r="D5" s="289"/>
      <c r="E5" s="289"/>
      <c r="F5" s="289" t="s">
        <v>259</v>
      </c>
      <c r="G5" s="289" t="s">
        <v>260</v>
      </c>
      <c r="H5" s="289"/>
      <c r="I5" s="289"/>
      <c r="J5" s="295"/>
      <c r="K5" s="296"/>
      <c r="L5" s="295"/>
      <c r="M5" s="296"/>
      <c r="N5" s="300"/>
    </row>
    <row r="6" spans="1:14" s="90" customFormat="1" ht="5.25" customHeight="1">
      <c r="A6" s="289"/>
      <c r="B6" s="289"/>
      <c r="C6" s="289"/>
      <c r="D6" s="289"/>
      <c r="E6" s="289"/>
      <c r="F6" s="289"/>
      <c r="G6" s="290" t="s">
        <v>261</v>
      </c>
      <c r="H6" s="290" t="s">
        <v>262</v>
      </c>
      <c r="I6" s="290" t="s">
        <v>263</v>
      </c>
      <c r="J6" s="297"/>
      <c r="K6" s="298"/>
      <c r="L6" s="297"/>
      <c r="M6" s="298"/>
      <c r="N6" s="300"/>
    </row>
    <row r="7" spans="1:14" s="248" customFormat="1" ht="14.25" customHeight="1">
      <c r="A7" s="289"/>
      <c r="B7" s="289"/>
      <c r="C7" s="289"/>
      <c r="D7" s="289"/>
      <c r="E7" s="289"/>
      <c r="F7" s="289"/>
      <c r="G7" s="291"/>
      <c r="H7" s="291"/>
      <c r="I7" s="291"/>
      <c r="J7" s="245" t="s">
        <v>264</v>
      </c>
      <c r="K7" s="247" t="s">
        <v>265</v>
      </c>
      <c r="L7" s="245" t="s">
        <v>264</v>
      </c>
      <c r="M7" s="247" t="s">
        <v>265</v>
      </c>
      <c r="N7" s="300"/>
    </row>
    <row r="8" spans="1:14" s="119" customFormat="1" ht="12.75" customHeight="1">
      <c r="A8" s="249" t="s">
        <v>266</v>
      </c>
      <c r="B8" s="36">
        <f>'[1]szczegóły'!C7</f>
        <v>68</v>
      </c>
      <c r="C8" s="36">
        <f>'[1]szczegóły'!K7</f>
        <v>63</v>
      </c>
      <c r="D8" s="36">
        <f>'[1]szczegóły'!O7</f>
        <v>3</v>
      </c>
      <c r="E8" s="36">
        <f>'[1]szczegóły'!Q7</f>
        <v>68</v>
      </c>
      <c r="F8" s="36">
        <f aca="true" t="shared" si="0" ref="F8:F44">SUM(G8:I8)</f>
        <v>14.76</v>
      </c>
      <c r="G8" s="36">
        <f>'[1]szczegóły'!AC7</f>
        <v>6.51</v>
      </c>
      <c r="H8" s="36">
        <f>'[1]szczegóły'!AM7</f>
        <v>1.5</v>
      </c>
      <c r="I8" s="36">
        <f>'[1]szczegóły'!AQ7</f>
        <v>6.75</v>
      </c>
      <c r="J8" s="10">
        <f>'[1]szczegóły'!AW7</f>
        <v>430268</v>
      </c>
      <c r="K8" s="250">
        <f>'[1]szczegóły'!AX7</f>
        <v>430268</v>
      </c>
      <c r="L8" s="251">
        <f>'[1]szczegóły'!BC7</f>
        <v>0</v>
      </c>
      <c r="M8" s="250">
        <f>'[1]szczegóły'!BD7</f>
        <v>0</v>
      </c>
      <c r="N8" s="36">
        <f aca="true" t="shared" si="1" ref="N8:N45">K8/B8/12</f>
        <v>527.2892156862745</v>
      </c>
    </row>
    <row r="9" spans="1:14" s="119" customFormat="1" ht="12.75" customHeight="1">
      <c r="A9" s="249" t="s">
        <v>267</v>
      </c>
      <c r="B9" s="36">
        <f>'[1]szczegóły'!C8</f>
        <v>99</v>
      </c>
      <c r="C9" s="36">
        <f>'[1]szczegóły'!K8</f>
        <v>95</v>
      </c>
      <c r="D9" s="36">
        <f>'[1]szczegóły'!O8</f>
        <v>4</v>
      </c>
      <c r="E9" s="36">
        <f>'[1]szczegóły'!Q8</f>
        <v>99</v>
      </c>
      <c r="F9" s="36">
        <f t="shared" si="0"/>
        <v>18.35</v>
      </c>
      <c r="G9" s="36">
        <f>'[1]szczegóły'!AC8</f>
        <v>8.35</v>
      </c>
      <c r="H9" s="36">
        <f>'[1]szczegóły'!AM8</f>
        <v>1.75</v>
      </c>
      <c r="I9" s="36">
        <f>'[1]szczegóły'!AQ8</f>
        <v>8.25</v>
      </c>
      <c r="J9" s="10">
        <f>'[1]szczegóły'!AW8</f>
        <v>548512</v>
      </c>
      <c r="K9" s="250">
        <f>'[1]szczegóły'!AX8</f>
        <v>548512</v>
      </c>
      <c r="L9" s="251">
        <f>'[1]szczegóły'!BC8</f>
        <v>6100</v>
      </c>
      <c r="M9" s="250">
        <f>'[1]szczegóły'!BD8</f>
        <v>6100</v>
      </c>
      <c r="N9" s="36">
        <f t="shared" si="1"/>
        <v>461.7104377104377</v>
      </c>
    </row>
    <row r="10" spans="1:14" s="119" customFormat="1" ht="12.75" customHeight="1">
      <c r="A10" s="249" t="s">
        <v>268</v>
      </c>
      <c r="B10" s="36">
        <f>'[1]szczegóły'!C9</f>
        <v>116</v>
      </c>
      <c r="C10" s="36">
        <f>'[1]szczegóły'!K9</f>
        <v>115</v>
      </c>
      <c r="D10" s="36">
        <f>'[1]szczegóły'!O9</f>
        <v>5</v>
      </c>
      <c r="E10" s="36">
        <f>'[1]szczegóły'!Q9</f>
        <v>116</v>
      </c>
      <c r="F10" s="36">
        <f t="shared" si="0"/>
        <v>22.96</v>
      </c>
      <c r="G10" s="36">
        <f>'[1]szczegóły'!AC9</f>
        <v>11.96</v>
      </c>
      <c r="H10" s="36">
        <f>'[1]szczegóły'!AM9</f>
        <v>1.75</v>
      </c>
      <c r="I10" s="36">
        <f>'[1]szczegóły'!AQ9</f>
        <v>9.25</v>
      </c>
      <c r="J10" s="10">
        <f>'[1]szczegóły'!AW9</f>
        <v>695900</v>
      </c>
      <c r="K10" s="250">
        <f>'[1]szczegóły'!AX9</f>
        <v>695309.12</v>
      </c>
      <c r="L10" s="251">
        <f>'[1]szczegóły'!BC9</f>
        <v>0</v>
      </c>
      <c r="M10" s="250">
        <f>'[1]szczegóły'!BD9</f>
        <v>0</v>
      </c>
      <c r="N10" s="36">
        <f t="shared" si="1"/>
        <v>499.5036781609195</v>
      </c>
    </row>
    <row r="11" spans="1:14" s="119" customFormat="1" ht="12.75" customHeight="1">
      <c r="A11" s="249" t="s">
        <v>269</v>
      </c>
      <c r="B11" s="36">
        <f>'[1]szczegóły'!C10</f>
        <v>92</v>
      </c>
      <c r="C11" s="36">
        <f>'[1]szczegóły'!K10</f>
        <v>81.08</v>
      </c>
      <c r="D11" s="36">
        <f>'[1]szczegóły'!O10</f>
        <v>4</v>
      </c>
      <c r="E11" s="36">
        <f>'[1]szczegóły'!Q10</f>
        <v>89.17</v>
      </c>
      <c r="F11" s="36">
        <f t="shared" si="0"/>
        <v>20.63</v>
      </c>
      <c r="G11" s="36">
        <f>'[1]szczegóły'!AC10</f>
        <v>9.799999999999999</v>
      </c>
      <c r="H11" s="36">
        <f>'[1]szczegóły'!AM10</f>
        <v>2</v>
      </c>
      <c r="I11" s="36">
        <f>'[1]szczegóły'!AQ10</f>
        <v>8.83</v>
      </c>
      <c r="J11" s="10">
        <f>'[1]szczegóły'!AW10</f>
        <v>626847</v>
      </c>
      <c r="K11" s="250">
        <f>'[1]szczegóły'!AX10</f>
        <v>626801</v>
      </c>
      <c r="L11" s="251">
        <f>'[1]szczegóły'!BC10</f>
        <v>0</v>
      </c>
      <c r="M11" s="250">
        <f>'[1]szczegóły'!BD10</f>
        <v>0</v>
      </c>
      <c r="N11" s="36">
        <f t="shared" si="1"/>
        <v>567.7545289855072</v>
      </c>
    </row>
    <row r="12" spans="1:14" s="119" customFormat="1" ht="12.75" customHeight="1">
      <c r="A12" s="249" t="s">
        <v>270</v>
      </c>
      <c r="B12" s="36">
        <f>'[1]szczegóły'!C11</f>
        <v>70</v>
      </c>
      <c r="C12" s="36">
        <f>'[1]szczegóły'!K11</f>
        <v>56</v>
      </c>
      <c r="D12" s="36">
        <f>'[1]szczegóły'!O11</f>
        <v>3</v>
      </c>
      <c r="E12" s="36">
        <f>'[1]szczegóły'!Q11</f>
        <v>66</v>
      </c>
      <c r="F12" s="36">
        <f t="shared" si="0"/>
        <v>14.835</v>
      </c>
      <c r="G12" s="36">
        <f>'[1]szczegóły'!AC11</f>
        <v>7.46</v>
      </c>
      <c r="H12" s="36">
        <f>'[1]szczegóły'!AM11</f>
        <v>1.875</v>
      </c>
      <c r="I12" s="36">
        <f>'[1]szczegóły'!AQ11</f>
        <v>5.5</v>
      </c>
      <c r="J12" s="10">
        <f>'[1]szczegóły'!AW11</f>
        <v>715428</v>
      </c>
      <c r="K12" s="250">
        <f>'[1]szczegóły'!AX11</f>
        <v>715428</v>
      </c>
      <c r="L12" s="251">
        <f>'[1]szczegóły'!BC11</f>
        <v>8690</v>
      </c>
      <c r="M12" s="250">
        <f>'[1]szczegóły'!BD11</f>
        <v>8690</v>
      </c>
      <c r="N12" s="36">
        <f t="shared" si="1"/>
        <v>851.6999999999999</v>
      </c>
    </row>
    <row r="13" spans="1:14" s="119" customFormat="1" ht="12.75" customHeight="1">
      <c r="A13" s="249" t="s">
        <v>271</v>
      </c>
      <c r="B13" s="36">
        <f>'[1]szczegóły'!C12</f>
        <v>83.5</v>
      </c>
      <c r="C13" s="36">
        <f>'[1]szczegóły'!K12</f>
        <v>69.25</v>
      </c>
      <c r="D13" s="36">
        <f>'[1]szczegóły'!O12</f>
        <v>4</v>
      </c>
      <c r="E13" s="36">
        <f>'[1]szczegóły'!Q12</f>
        <v>75.33</v>
      </c>
      <c r="F13" s="36">
        <f t="shared" si="0"/>
        <v>19.6</v>
      </c>
      <c r="G13" s="36">
        <f>'[1]szczegóły'!AC12</f>
        <v>10.11</v>
      </c>
      <c r="H13" s="36">
        <f>'[1]szczegóły'!AM12</f>
        <v>1.58</v>
      </c>
      <c r="I13" s="36">
        <f>'[1]szczegóły'!AQ12</f>
        <v>7.91</v>
      </c>
      <c r="J13" s="10">
        <f>'[1]szczegóły'!AW12</f>
        <v>537367</v>
      </c>
      <c r="K13" s="250">
        <f>'[1]szczegóły'!AX12</f>
        <v>537367</v>
      </c>
      <c r="L13" s="251">
        <f>'[1]szczegóły'!BC12</f>
        <v>0</v>
      </c>
      <c r="M13" s="250">
        <f>'[1]szczegóły'!BD12</f>
        <v>0</v>
      </c>
      <c r="N13" s="36">
        <f t="shared" si="1"/>
        <v>536.2944111776447</v>
      </c>
    </row>
    <row r="14" spans="1:14" s="119" customFormat="1" ht="12.75" customHeight="1">
      <c r="A14" s="249" t="s">
        <v>272</v>
      </c>
      <c r="B14" s="36">
        <f>'[1]szczegóły'!C13</f>
        <v>99</v>
      </c>
      <c r="C14" s="36">
        <f>'[1]szczegóły'!K13</f>
        <v>98</v>
      </c>
      <c r="D14" s="36">
        <f>'[1]szczegóły'!O13</f>
        <v>4</v>
      </c>
      <c r="E14" s="36">
        <f>'[1]szczegóły'!Q13</f>
        <v>99</v>
      </c>
      <c r="F14" s="36">
        <f t="shared" si="0"/>
        <v>18.954</v>
      </c>
      <c r="G14" s="36">
        <f>'[1]szczegóły'!AC13</f>
        <v>9.100000000000001</v>
      </c>
      <c r="H14" s="36">
        <f>'[1]szczegóły'!AM13</f>
        <v>1.75</v>
      </c>
      <c r="I14" s="36">
        <f>'[1]szczegóły'!AQ13</f>
        <v>8.104</v>
      </c>
      <c r="J14" s="10">
        <f>'[1]szczegóły'!AW13</f>
        <v>767157</v>
      </c>
      <c r="K14" s="250">
        <f>'[1]szczegóły'!AX13</f>
        <v>767157</v>
      </c>
      <c r="L14" s="251">
        <f>'[1]szczegóły'!BC13</f>
        <v>0</v>
      </c>
      <c r="M14" s="250">
        <f>'[1]szczegóły'!BD13</f>
        <v>0</v>
      </c>
      <c r="N14" s="36">
        <f t="shared" si="1"/>
        <v>645.7550505050505</v>
      </c>
    </row>
    <row r="15" spans="1:14" s="119" customFormat="1" ht="12.75" customHeight="1">
      <c r="A15" s="249" t="s">
        <v>273</v>
      </c>
      <c r="B15" s="36">
        <f>'[1]szczegóły'!C14</f>
        <v>99</v>
      </c>
      <c r="C15" s="36">
        <f>'[1]szczegóły'!K14</f>
        <v>87</v>
      </c>
      <c r="D15" s="36">
        <f>'[1]szczegóły'!O14</f>
        <v>4</v>
      </c>
      <c r="E15" s="36">
        <f>'[1]szczegóły'!Q14</f>
        <v>99</v>
      </c>
      <c r="F15" s="36">
        <f t="shared" si="0"/>
        <v>18.77</v>
      </c>
      <c r="G15" s="36">
        <f>'[1]szczegóły'!AC14</f>
        <v>8.27</v>
      </c>
      <c r="H15" s="36">
        <f>'[1]szczegóły'!AM14</f>
        <v>2.08</v>
      </c>
      <c r="I15" s="36">
        <f>'[1]szczegóły'!AQ14</f>
        <v>8.42</v>
      </c>
      <c r="J15" s="10">
        <f>'[1]szczegóły'!AW14</f>
        <v>641804</v>
      </c>
      <c r="K15" s="250">
        <f>'[1]szczegóły'!AX14</f>
        <v>591804</v>
      </c>
      <c r="L15" s="251">
        <f>'[1]szczegóły'!BC14</f>
        <v>0</v>
      </c>
      <c r="M15" s="250">
        <f>'[1]szczegóły'!BD14</f>
        <v>0</v>
      </c>
      <c r="N15" s="36">
        <f t="shared" si="1"/>
        <v>498.1515151515152</v>
      </c>
    </row>
    <row r="16" spans="1:14" s="119" customFormat="1" ht="12.75" customHeight="1">
      <c r="A16" s="249" t="s">
        <v>274</v>
      </c>
      <c r="B16" s="36">
        <f>'[1]szczegóły'!C15</f>
        <v>60.84</v>
      </c>
      <c r="C16" s="36">
        <f>'[1]szczegóły'!K15</f>
        <v>46.17</v>
      </c>
      <c r="D16" s="36">
        <f>'[1]szczegóły'!O15</f>
        <v>3</v>
      </c>
      <c r="E16" s="36">
        <f>'[1]szczegóły'!Q15</f>
        <v>52.92</v>
      </c>
      <c r="F16" s="36">
        <f t="shared" si="0"/>
        <v>12.93</v>
      </c>
      <c r="G16" s="36">
        <f>'[1]szczegóły'!AC15</f>
        <v>5.93</v>
      </c>
      <c r="H16" s="36">
        <f>'[1]szczegóły'!AM15</f>
        <v>1.5</v>
      </c>
      <c r="I16" s="36">
        <f>'[1]szczegóły'!AQ15</f>
        <v>5.5</v>
      </c>
      <c r="J16" s="10">
        <f>'[1]szczegóły'!AW15</f>
        <v>397048</v>
      </c>
      <c r="K16" s="250">
        <f>'[1]szczegóły'!AX15</f>
        <v>397048</v>
      </c>
      <c r="L16" s="251">
        <f>'[1]szczegóły'!BC15</f>
        <v>0</v>
      </c>
      <c r="M16" s="250">
        <f>'[1]szczegóły'!BD15</f>
        <v>0</v>
      </c>
      <c r="N16" s="36">
        <f t="shared" si="1"/>
        <v>543.8417707648476</v>
      </c>
    </row>
    <row r="17" spans="1:14" s="119" customFormat="1" ht="12.75" customHeight="1">
      <c r="A17" s="249" t="s">
        <v>275</v>
      </c>
      <c r="B17" s="36">
        <f>'[1]szczegóły'!C16</f>
        <v>106.63</v>
      </c>
      <c r="C17" s="36">
        <f>'[1]szczegóły'!K16</f>
        <v>87.3</v>
      </c>
      <c r="D17" s="36">
        <f>'[1]szczegóły'!O16</f>
        <v>4</v>
      </c>
      <c r="E17" s="36">
        <f>'[1]szczegóły'!Q16</f>
        <v>74.9</v>
      </c>
      <c r="F17" s="36">
        <f t="shared" si="0"/>
        <v>18.78</v>
      </c>
      <c r="G17" s="36">
        <f>'[1]szczegóły'!AC16</f>
        <v>9.53</v>
      </c>
      <c r="H17" s="36">
        <f>'[1]szczegóły'!AM16</f>
        <v>1.75</v>
      </c>
      <c r="I17" s="36">
        <f>'[1]szczegóły'!AQ16</f>
        <v>7.5</v>
      </c>
      <c r="J17" s="10">
        <f>'[1]szczegóły'!AW16</f>
        <v>559202</v>
      </c>
      <c r="K17" s="250">
        <f>'[1]szczegóły'!AX16</f>
        <v>559202</v>
      </c>
      <c r="L17" s="251">
        <f>'[1]szczegóły'!BC16</f>
        <v>2027</v>
      </c>
      <c r="M17" s="250">
        <f>'[1]szczegóły'!BD16</f>
        <v>2027</v>
      </c>
      <c r="N17" s="36">
        <f t="shared" si="1"/>
        <v>437.02679045922036</v>
      </c>
    </row>
    <row r="18" spans="1:14" s="119" customFormat="1" ht="12.75" customHeight="1">
      <c r="A18" s="249" t="s">
        <v>276</v>
      </c>
      <c r="B18" s="36">
        <f>'[1]szczegóły'!C17</f>
        <v>103</v>
      </c>
      <c r="C18" s="36">
        <f>'[1]szczegóły'!K17</f>
        <v>84</v>
      </c>
      <c r="D18" s="36">
        <f>'[1]szczegóły'!O17</f>
        <v>4</v>
      </c>
      <c r="E18" s="36">
        <f>'[1]szczegóły'!Q17</f>
        <v>103</v>
      </c>
      <c r="F18" s="36">
        <f t="shared" si="0"/>
        <v>18.92</v>
      </c>
      <c r="G18" s="36">
        <f>'[1]szczegóły'!AC17</f>
        <v>9.34</v>
      </c>
      <c r="H18" s="36">
        <f>'[1]szczegóły'!AM17</f>
        <v>1.75</v>
      </c>
      <c r="I18" s="36">
        <f>'[1]szczegóły'!AQ17</f>
        <v>7.83</v>
      </c>
      <c r="J18" s="10">
        <f>'[1]szczegóły'!AW17</f>
        <v>667307</v>
      </c>
      <c r="K18" s="250">
        <f>'[1]szczegóły'!AX17</f>
        <v>667307</v>
      </c>
      <c r="L18" s="251">
        <f>'[1]szczegóły'!BC17</f>
        <v>0</v>
      </c>
      <c r="M18" s="250">
        <f>'[1]szczegóły'!BD17</f>
        <v>0</v>
      </c>
      <c r="N18" s="36">
        <f t="shared" si="1"/>
        <v>539.8923948220065</v>
      </c>
    </row>
    <row r="19" spans="1:14" s="119" customFormat="1" ht="12.75" customHeight="1">
      <c r="A19" s="249" t="s">
        <v>277</v>
      </c>
      <c r="B19" s="36">
        <f>'[1]szczegóły'!C18</f>
        <v>114.59</v>
      </c>
      <c r="C19" s="36">
        <f>'[1]szczegóły'!K18</f>
        <v>48.42</v>
      </c>
      <c r="D19" s="36">
        <f>'[1]szczegóły'!O18</f>
        <v>5</v>
      </c>
      <c r="E19" s="36">
        <f>'[1]szczegóły'!Q18</f>
        <v>97.33</v>
      </c>
      <c r="F19" s="36">
        <f t="shared" si="0"/>
        <v>19.799999999999997</v>
      </c>
      <c r="G19" s="36">
        <f>'[1]szczegóły'!AC18</f>
        <v>9.879999999999999</v>
      </c>
      <c r="H19" s="36">
        <f>'[1]szczegóły'!AM18</f>
        <v>1.75</v>
      </c>
      <c r="I19" s="36">
        <f>'[1]szczegóły'!AQ18</f>
        <v>8.17</v>
      </c>
      <c r="J19" s="10">
        <f>'[1]szczegóły'!AW18</f>
        <v>632741</v>
      </c>
      <c r="K19" s="250">
        <f>'[1]szczegóły'!AX18</f>
        <v>632741</v>
      </c>
      <c r="L19" s="251">
        <f>'[1]szczegóły'!BC18</f>
        <v>0</v>
      </c>
      <c r="M19" s="250">
        <f>'[1]szczegóły'!BD18</f>
        <v>0</v>
      </c>
      <c r="N19" s="36">
        <f t="shared" si="1"/>
        <v>460.14850045088286</v>
      </c>
    </row>
    <row r="20" spans="1:14" s="119" customFormat="1" ht="12.75" customHeight="1">
      <c r="A20" s="249" t="s">
        <v>278</v>
      </c>
      <c r="B20" s="36">
        <f>'[1]szczegóły'!C19</f>
        <v>73.99</v>
      </c>
      <c r="C20" s="36">
        <f>'[1]szczegóły'!K19</f>
        <v>63.66</v>
      </c>
      <c r="D20" s="36">
        <f>'[1]szczegóły'!O19</f>
        <v>4</v>
      </c>
      <c r="E20" s="36">
        <f>'[1]szczegóły'!Q19</f>
        <v>72.4</v>
      </c>
      <c r="F20" s="36">
        <f t="shared" si="0"/>
        <v>17.67</v>
      </c>
      <c r="G20" s="36">
        <f>'[1]szczegóły'!AC19</f>
        <v>8.92</v>
      </c>
      <c r="H20" s="36">
        <f>'[1]szczegóły'!AM19</f>
        <v>1.75</v>
      </c>
      <c r="I20" s="36">
        <f>'[1]szczegóły'!AQ19</f>
        <v>7</v>
      </c>
      <c r="J20" s="10">
        <f>'[1]szczegóły'!AW19</f>
        <v>560877</v>
      </c>
      <c r="K20" s="250">
        <f>'[1]szczegóły'!AX19</f>
        <v>560597.66</v>
      </c>
      <c r="L20" s="251">
        <f>'[1]szczegóły'!BC19</f>
        <v>5917</v>
      </c>
      <c r="M20" s="250">
        <f>'[1]szczegóły'!BD19</f>
        <v>5917</v>
      </c>
      <c r="N20" s="36">
        <f t="shared" si="1"/>
        <v>631.3889940081993</v>
      </c>
    </row>
    <row r="21" spans="1:14" s="119" customFormat="1" ht="12.75" customHeight="1">
      <c r="A21" s="249" t="s">
        <v>279</v>
      </c>
      <c r="B21" s="36">
        <f>'[1]szczegóły'!C20</f>
        <v>63</v>
      </c>
      <c r="C21" s="36">
        <f>'[1]szczegóły'!K20</f>
        <v>58.75</v>
      </c>
      <c r="D21" s="36">
        <f>'[1]szczegóły'!O20</f>
        <v>3</v>
      </c>
      <c r="E21" s="36">
        <f>'[1]szczegóły'!Q20</f>
        <v>61.83</v>
      </c>
      <c r="F21" s="36">
        <f t="shared" si="0"/>
        <v>13.79</v>
      </c>
      <c r="G21" s="36">
        <f>'[1]szczegóły'!AC20</f>
        <v>6.779999999999999</v>
      </c>
      <c r="H21" s="36">
        <f>'[1]szczegóły'!AM20</f>
        <v>1.51</v>
      </c>
      <c r="I21" s="36">
        <f>'[1]szczegóły'!AQ20</f>
        <v>5.5</v>
      </c>
      <c r="J21" s="10">
        <f>'[1]szczegóły'!AW20</f>
        <v>432177</v>
      </c>
      <c r="K21" s="250">
        <f>'[1]szczegóły'!AX20</f>
        <v>432177</v>
      </c>
      <c r="L21" s="251">
        <f>'[1]szczegóły'!BC20</f>
        <v>0</v>
      </c>
      <c r="M21" s="250">
        <f>'[1]szczegóły'!BD20</f>
        <v>0</v>
      </c>
      <c r="N21" s="36">
        <f t="shared" si="1"/>
        <v>571.6626984126984</v>
      </c>
    </row>
    <row r="22" spans="1:14" s="119" customFormat="1" ht="12.75" customHeight="1">
      <c r="A22" s="249" t="s">
        <v>280</v>
      </c>
      <c r="B22" s="36">
        <f>'[1]szczegóły'!C21</f>
        <v>97</v>
      </c>
      <c r="C22" s="36">
        <f>'[1]szczegóły'!K21</f>
        <v>80.92</v>
      </c>
      <c r="D22" s="36">
        <f>'[1]szczegóły'!O21</f>
        <v>5</v>
      </c>
      <c r="E22" s="36">
        <f>'[1]szczegóły'!Q21</f>
        <v>96.33</v>
      </c>
      <c r="F22" s="36">
        <f t="shared" si="0"/>
        <v>21.09</v>
      </c>
      <c r="G22" s="36">
        <f>'[1]szczegóły'!AC21</f>
        <v>10.52</v>
      </c>
      <c r="H22" s="36">
        <f>'[1]szczegóły'!AM21</f>
        <v>1.77</v>
      </c>
      <c r="I22" s="36">
        <f>'[1]szczegóły'!AQ21</f>
        <v>8.8</v>
      </c>
      <c r="J22" s="10">
        <f>'[1]szczegóły'!AW21</f>
        <v>655375</v>
      </c>
      <c r="K22" s="250">
        <f>'[1]szczegóły'!AX21</f>
        <v>655374.29</v>
      </c>
      <c r="L22" s="251">
        <f>'[1]szczegóły'!BC21</f>
        <v>0</v>
      </c>
      <c r="M22" s="250">
        <f>'[1]szczegóły'!BD21</f>
        <v>0</v>
      </c>
      <c r="N22" s="36">
        <f t="shared" si="1"/>
        <v>563.0363316151203</v>
      </c>
    </row>
    <row r="23" spans="1:14" s="119" customFormat="1" ht="12.75" customHeight="1">
      <c r="A23" s="249" t="s">
        <v>281</v>
      </c>
      <c r="B23" s="36">
        <f>'[1]szczegóły'!C22</f>
        <v>94</v>
      </c>
      <c r="C23" s="36">
        <f>'[1]szczegóły'!K22</f>
        <v>92</v>
      </c>
      <c r="D23" s="36">
        <f>'[1]szczegóły'!O22</f>
        <v>4</v>
      </c>
      <c r="E23" s="36">
        <f>'[1]szczegóły'!Q22</f>
        <v>92</v>
      </c>
      <c r="F23" s="36">
        <f t="shared" si="0"/>
        <v>17.423000000000002</v>
      </c>
      <c r="G23" s="36">
        <f>'[1]szczegóły'!AC22</f>
        <v>8.968</v>
      </c>
      <c r="H23" s="36">
        <f>'[1]szczegóły'!AM22</f>
        <v>1.875</v>
      </c>
      <c r="I23" s="36">
        <f>'[1]szczegóły'!AQ22</f>
        <v>6.58</v>
      </c>
      <c r="J23" s="10">
        <f>'[1]szczegóły'!AW22</f>
        <v>533273</v>
      </c>
      <c r="K23" s="250">
        <f>'[1]szczegóły'!AX22</f>
        <v>533273</v>
      </c>
      <c r="L23" s="251">
        <f>'[1]szczegóły'!BC22</f>
        <v>7134</v>
      </c>
      <c r="M23" s="250">
        <f>'[1]szczegóły'!BD22</f>
        <v>7134</v>
      </c>
      <c r="N23" s="36">
        <f t="shared" si="1"/>
        <v>472.75975177304963</v>
      </c>
    </row>
    <row r="24" spans="1:14" s="119" customFormat="1" ht="12.75" customHeight="1">
      <c r="A24" s="249" t="s">
        <v>282</v>
      </c>
      <c r="B24" s="36">
        <f>'[1]szczegóły'!C23</f>
        <v>109</v>
      </c>
      <c r="C24" s="36">
        <f>'[1]szczegóły'!K23</f>
        <v>109</v>
      </c>
      <c r="D24" s="36">
        <f>'[1]szczegóły'!O23</f>
        <v>4.3</v>
      </c>
      <c r="E24" s="36">
        <f>'[1]szczegóły'!Q23</f>
        <v>109</v>
      </c>
      <c r="F24" s="36">
        <f t="shared" si="0"/>
        <v>20.76</v>
      </c>
      <c r="G24" s="36">
        <f>'[1]szczegóły'!AC23</f>
        <v>10.190000000000001</v>
      </c>
      <c r="H24" s="36">
        <f>'[1]szczegóły'!AM23</f>
        <v>1.82</v>
      </c>
      <c r="I24" s="36">
        <f>'[1]szczegóły'!AQ23</f>
        <v>8.75</v>
      </c>
      <c r="J24" s="10">
        <f>'[1]szczegóły'!AW23</f>
        <v>643612</v>
      </c>
      <c r="K24" s="250">
        <f>'[1]szczegóły'!AX23</f>
        <v>643611.99</v>
      </c>
      <c r="L24" s="251">
        <f>'[1]szczegóły'!BC23</f>
        <v>0</v>
      </c>
      <c r="M24" s="250">
        <f>'[1]szczegóły'!BD23</f>
        <v>0</v>
      </c>
      <c r="N24" s="36">
        <f t="shared" si="1"/>
        <v>492.05809633027525</v>
      </c>
    </row>
    <row r="25" spans="1:14" s="119" customFormat="1" ht="12.75" customHeight="1">
      <c r="A25" s="249" t="s">
        <v>283</v>
      </c>
      <c r="B25" s="36">
        <f>'[1]szczegóły'!C24</f>
        <v>86</v>
      </c>
      <c r="C25" s="36">
        <f>'[1]szczegóły'!K24</f>
        <v>81</v>
      </c>
      <c r="D25" s="36">
        <f>'[1]szczegóły'!O24</f>
        <v>4</v>
      </c>
      <c r="E25" s="36">
        <f>'[1]szczegóły'!Q24</f>
        <v>83</v>
      </c>
      <c r="F25" s="36">
        <f t="shared" si="0"/>
        <v>17.990000000000002</v>
      </c>
      <c r="G25" s="36">
        <f>'[1]szczegóły'!AC24</f>
        <v>8.49</v>
      </c>
      <c r="H25" s="36">
        <f>'[1]szczegóły'!AM24</f>
        <v>1.75</v>
      </c>
      <c r="I25" s="36">
        <f>'[1]szczegóły'!AQ24</f>
        <v>7.75</v>
      </c>
      <c r="J25" s="10">
        <f>'[1]szczegóły'!AW24</f>
        <v>564219</v>
      </c>
      <c r="K25" s="250">
        <f>'[1]szczegóły'!AX24</f>
        <v>564211</v>
      </c>
      <c r="L25" s="251">
        <f>'[1]szczegóły'!BC24</f>
        <v>18430</v>
      </c>
      <c r="M25" s="250">
        <f>'[1]szczegóły'!BD24</f>
        <v>18422</v>
      </c>
      <c r="N25" s="36">
        <f t="shared" si="1"/>
        <v>546.7160852713179</v>
      </c>
    </row>
    <row r="26" spans="1:14" s="119" customFormat="1" ht="12.75" customHeight="1">
      <c r="A26" s="249" t="s">
        <v>284</v>
      </c>
      <c r="B26" s="36">
        <f>'[1]szczegóły'!C25</f>
        <v>137</v>
      </c>
      <c r="C26" s="36">
        <f>'[1]szczegóły'!K25</f>
        <v>100</v>
      </c>
      <c r="D26" s="36">
        <f>'[1]szczegóły'!O25</f>
        <v>6</v>
      </c>
      <c r="E26" s="36">
        <f>'[1]szczegóły'!Q25</f>
        <v>100</v>
      </c>
      <c r="F26" s="36">
        <f t="shared" si="0"/>
        <v>22.29</v>
      </c>
      <c r="G26" s="36">
        <f>'[1]szczegóły'!AC25</f>
        <v>11.48</v>
      </c>
      <c r="H26" s="36">
        <f>'[1]szczegóły'!AM25</f>
        <v>1.81</v>
      </c>
      <c r="I26" s="36">
        <f>'[1]szczegóły'!AQ25</f>
        <v>9</v>
      </c>
      <c r="J26" s="10">
        <f>'[1]szczegóły'!AW25</f>
        <v>769544</v>
      </c>
      <c r="K26" s="250">
        <f>'[1]szczegóły'!AX25</f>
        <v>769544</v>
      </c>
      <c r="L26" s="251">
        <f>'[1]szczegóły'!BC25</f>
        <v>0</v>
      </c>
      <c r="M26" s="250">
        <f>'[1]szczegóły'!BD25</f>
        <v>0</v>
      </c>
      <c r="N26" s="36">
        <f t="shared" si="1"/>
        <v>468.0924574209246</v>
      </c>
    </row>
    <row r="27" spans="1:14" s="119" customFormat="1" ht="12.75" customHeight="1">
      <c r="A27" s="249" t="s">
        <v>285</v>
      </c>
      <c r="B27" s="36">
        <f>'[1]szczegóły'!C26</f>
        <v>103.16</v>
      </c>
      <c r="C27" s="36">
        <f>'[1]szczegóły'!K26</f>
        <v>85.33</v>
      </c>
      <c r="D27" s="36">
        <f>'[1]szczegóły'!O26</f>
        <v>4.33</v>
      </c>
      <c r="E27" s="36">
        <f>'[1]szczegóły'!Q26</f>
        <v>100.42</v>
      </c>
      <c r="F27" s="36">
        <f t="shared" si="0"/>
        <v>22.23</v>
      </c>
      <c r="G27" s="36">
        <f>'[1]szczegóły'!AC26</f>
        <v>12.23</v>
      </c>
      <c r="H27" s="36">
        <f>'[1]szczegóły'!AM26</f>
        <v>1.75</v>
      </c>
      <c r="I27" s="36">
        <f>'[1]szczegóły'!AQ26</f>
        <v>8.25</v>
      </c>
      <c r="J27" s="10">
        <f>'[1]szczegóły'!AW26</f>
        <v>769892</v>
      </c>
      <c r="K27" s="250">
        <f>'[1]szczegóły'!AX26</f>
        <v>709890.78</v>
      </c>
      <c r="L27" s="251">
        <f>'[1]szczegóły'!BC26</f>
        <v>6500</v>
      </c>
      <c r="M27" s="250">
        <f>'[1]szczegóły'!BD26</f>
        <v>6498.78</v>
      </c>
      <c r="N27" s="36">
        <f t="shared" si="1"/>
        <v>573.4544881737107</v>
      </c>
    </row>
    <row r="28" spans="1:14" s="119" customFormat="1" ht="12.75" customHeight="1">
      <c r="A28" s="249" t="s">
        <v>286</v>
      </c>
      <c r="B28" s="36">
        <f>'[1]szczegóły'!C27</f>
        <v>105</v>
      </c>
      <c r="C28" s="36">
        <f>'[1]szczegóły'!K27</f>
        <v>91</v>
      </c>
      <c r="D28" s="36">
        <f>'[1]szczegóły'!O27</f>
        <v>5</v>
      </c>
      <c r="E28" s="36">
        <f>'[1]szczegóły'!Q27</f>
        <v>105</v>
      </c>
      <c r="F28" s="36">
        <f t="shared" si="0"/>
        <v>21.47</v>
      </c>
      <c r="G28" s="36">
        <f>'[1]szczegóły'!AC27</f>
        <v>10.469999999999999</v>
      </c>
      <c r="H28" s="36">
        <f>'[1]szczegóły'!AM27</f>
        <v>2</v>
      </c>
      <c r="I28" s="36">
        <f>'[1]szczegóły'!AQ27</f>
        <v>9</v>
      </c>
      <c r="J28" s="10">
        <f>'[1]szczegóły'!AW27</f>
        <v>620420</v>
      </c>
      <c r="K28" s="250">
        <f>'[1]szczegóły'!AX27</f>
        <v>620420</v>
      </c>
      <c r="L28" s="251">
        <f>'[1]szczegóły'!BC27</f>
        <v>0</v>
      </c>
      <c r="M28" s="250">
        <f>'[1]szczegóły'!BD27</f>
        <v>0</v>
      </c>
      <c r="N28" s="36">
        <f t="shared" si="1"/>
        <v>492.39682539682536</v>
      </c>
    </row>
    <row r="29" spans="1:14" s="119" customFormat="1" ht="12.75" customHeight="1">
      <c r="A29" s="249" t="s">
        <v>287</v>
      </c>
      <c r="B29" s="36">
        <f>'[1]szczegóły'!C28</f>
        <v>123</v>
      </c>
      <c r="C29" s="36">
        <f>'[1]szczegóły'!K28</f>
        <v>100</v>
      </c>
      <c r="D29" s="36">
        <f>'[1]szczegóły'!O28</f>
        <v>5</v>
      </c>
      <c r="E29" s="36">
        <f>'[1]szczegóły'!Q28</f>
        <v>122</v>
      </c>
      <c r="F29" s="36">
        <f t="shared" si="0"/>
        <v>22.450000000000003</v>
      </c>
      <c r="G29" s="36">
        <f>'[1]szczegóły'!AC28</f>
        <v>11.07</v>
      </c>
      <c r="H29" s="36">
        <f>'[1]szczegóły'!AM28</f>
        <v>1.83</v>
      </c>
      <c r="I29" s="36">
        <f>'[1]szczegóły'!AQ28</f>
        <v>9.55</v>
      </c>
      <c r="J29" s="10">
        <f>'[1]szczegóły'!AW28</f>
        <v>651337</v>
      </c>
      <c r="K29" s="250">
        <f>'[1]szczegóły'!AX28</f>
        <v>651337</v>
      </c>
      <c r="L29" s="251">
        <f>'[1]szczegóły'!BC28</f>
        <v>0</v>
      </c>
      <c r="M29" s="250">
        <f>'[1]szczegóły'!BD28</f>
        <v>0</v>
      </c>
      <c r="N29" s="36">
        <f t="shared" si="1"/>
        <v>441.2852303523035</v>
      </c>
    </row>
    <row r="30" spans="1:14" s="119" customFormat="1" ht="12.75" customHeight="1">
      <c r="A30" s="249" t="s">
        <v>288</v>
      </c>
      <c r="B30" s="36">
        <f>'[1]szczegóły'!C29</f>
        <v>85.33</v>
      </c>
      <c r="C30" s="36">
        <f>'[1]szczegóły'!K29</f>
        <v>56.83</v>
      </c>
      <c r="D30" s="36">
        <f>'[1]szczegóły'!O29</f>
        <v>4</v>
      </c>
      <c r="E30" s="36">
        <f>'[1]szczegóły'!Q29</f>
        <v>72.4</v>
      </c>
      <c r="F30" s="36">
        <f t="shared" si="0"/>
        <v>16.57</v>
      </c>
      <c r="G30" s="36">
        <f>'[1]szczegóły'!AC29</f>
        <v>7.59</v>
      </c>
      <c r="H30" s="36">
        <f>'[1]szczegóły'!AM29</f>
        <v>1.75</v>
      </c>
      <c r="I30" s="36">
        <f>'[1]szczegóły'!AQ29</f>
        <v>7.23</v>
      </c>
      <c r="J30" s="10">
        <f>'[1]szczegóły'!AW29</f>
        <v>547925</v>
      </c>
      <c r="K30" s="250">
        <f>'[1]szczegóły'!AX29</f>
        <v>547925</v>
      </c>
      <c r="L30" s="251">
        <f>'[1]szczegóły'!BC29</f>
        <v>0</v>
      </c>
      <c r="M30" s="250">
        <f>'[1]szczegóły'!BD29</f>
        <v>0</v>
      </c>
      <c r="N30" s="36">
        <f t="shared" si="1"/>
        <v>535.1039103089964</v>
      </c>
    </row>
    <row r="31" spans="1:14" s="119" customFormat="1" ht="12.75" customHeight="1">
      <c r="A31" s="249" t="s">
        <v>289</v>
      </c>
      <c r="B31" s="36">
        <f>'[1]szczegóły'!C30</f>
        <v>110</v>
      </c>
      <c r="C31" s="36">
        <f>'[1]szczegóły'!K30</f>
        <v>103</v>
      </c>
      <c r="D31" s="36">
        <f>'[1]szczegóły'!O30</f>
        <v>4.33</v>
      </c>
      <c r="E31" s="36">
        <f>'[1]szczegóły'!Q30</f>
        <v>108</v>
      </c>
      <c r="F31" s="36">
        <f t="shared" si="0"/>
        <v>20.240000000000002</v>
      </c>
      <c r="G31" s="36">
        <f>'[1]szczegóły'!AC30</f>
        <v>9.91</v>
      </c>
      <c r="H31" s="36">
        <f>'[1]szczegóły'!AM30</f>
        <v>1.75</v>
      </c>
      <c r="I31" s="36">
        <f>'[1]szczegóły'!AQ30</f>
        <v>8.58</v>
      </c>
      <c r="J31" s="10">
        <f>'[1]szczegóły'!AW30</f>
        <v>595267</v>
      </c>
      <c r="K31" s="250">
        <f>'[1]szczegóły'!AX30</f>
        <v>595171.4</v>
      </c>
      <c r="L31" s="251">
        <f>'[1]szczegóły'!BC30</f>
        <v>0</v>
      </c>
      <c r="M31" s="250">
        <f>'[1]szczegóły'!BD30</f>
        <v>0</v>
      </c>
      <c r="N31" s="36">
        <f t="shared" si="1"/>
        <v>450.88742424242423</v>
      </c>
    </row>
    <row r="32" spans="1:14" s="119" customFormat="1" ht="12.75" customHeight="1">
      <c r="A32" s="249" t="s">
        <v>290</v>
      </c>
      <c r="B32" s="36">
        <f>'[1]szczegóły'!C31</f>
        <v>118</v>
      </c>
      <c r="C32" s="36">
        <f>'[1]szczegóły'!K31</f>
        <v>108</v>
      </c>
      <c r="D32" s="36">
        <f>'[1]szczegóły'!O31</f>
        <v>5</v>
      </c>
      <c r="E32" s="36">
        <f>'[1]szczegóły'!Q31</f>
        <v>118</v>
      </c>
      <c r="F32" s="36">
        <f t="shared" si="0"/>
        <v>23.715</v>
      </c>
      <c r="G32" s="36">
        <f>'[1]szczegóły'!AC31</f>
        <v>12.05</v>
      </c>
      <c r="H32" s="36">
        <f>'[1]szczegóły'!AM31</f>
        <v>1.79</v>
      </c>
      <c r="I32" s="36">
        <f>'[1]szczegóły'!AQ31</f>
        <v>9.875</v>
      </c>
      <c r="J32" s="10">
        <f>'[1]szczegóły'!AW31</f>
        <v>734563</v>
      </c>
      <c r="K32" s="250">
        <f>'[1]szczegóły'!AX31</f>
        <v>734563</v>
      </c>
      <c r="L32" s="251">
        <f>'[1]szczegóły'!BC31</f>
        <v>0</v>
      </c>
      <c r="M32" s="250">
        <f>'[1]szczegóły'!BD31</f>
        <v>0</v>
      </c>
      <c r="N32" s="36">
        <f t="shared" si="1"/>
        <v>518.7591807909604</v>
      </c>
    </row>
    <row r="33" spans="1:14" s="119" customFormat="1" ht="12.75" customHeight="1">
      <c r="A33" s="249" t="s">
        <v>291</v>
      </c>
      <c r="B33" s="36">
        <f>'[1]szczegóły'!C32</f>
        <v>116.67</v>
      </c>
      <c r="C33" s="36">
        <f>'[1]szczegóły'!K32</f>
        <v>77.25</v>
      </c>
      <c r="D33" s="36">
        <f>'[1]szczegóły'!O32</f>
        <v>5.33</v>
      </c>
      <c r="E33" s="36">
        <f>'[1]szczegóły'!Q32</f>
        <v>77.25</v>
      </c>
      <c r="F33" s="36">
        <f t="shared" si="0"/>
        <v>19.43</v>
      </c>
      <c r="G33" s="36">
        <f>'[1]szczegóły'!AC32</f>
        <v>9.04</v>
      </c>
      <c r="H33" s="36">
        <f>'[1]szczegóły'!AM32</f>
        <v>2</v>
      </c>
      <c r="I33" s="36">
        <f>'[1]szczegóły'!AQ32</f>
        <v>8.39</v>
      </c>
      <c r="J33" s="10">
        <f>'[1]szczegóły'!AW32</f>
        <v>706831</v>
      </c>
      <c r="K33" s="250">
        <f>'[1]szczegóły'!AX32</f>
        <v>706831</v>
      </c>
      <c r="L33" s="251">
        <f>'[1]szczegóły'!BC32</f>
        <v>0</v>
      </c>
      <c r="M33" s="250">
        <f>'[1]szczegóły'!BD32</f>
        <v>0</v>
      </c>
      <c r="N33" s="36">
        <f t="shared" si="1"/>
        <v>504.8648610039713</v>
      </c>
    </row>
    <row r="34" spans="1:14" s="119" customFormat="1" ht="12.75" customHeight="1">
      <c r="A34" s="249" t="s">
        <v>292</v>
      </c>
      <c r="B34" s="36">
        <f>'[1]szczegóły'!C33</f>
        <v>73</v>
      </c>
      <c r="C34" s="36">
        <f>'[1]szczegóły'!K33</f>
        <v>64.6</v>
      </c>
      <c r="D34" s="36">
        <f>'[1]szczegóły'!O33</f>
        <v>3</v>
      </c>
      <c r="E34" s="36">
        <f>'[1]szczegóły'!Q33</f>
        <v>57.84</v>
      </c>
      <c r="F34" s="36">
        <f t="shared" si="0"/>
        <v>13.34</v>
      </c>
      <c r="G34" s="36">
        <f>'[1]szczegóły'!AC33</f>
        <v>6.03</v>
      </c>
      <c r="H34" s="36">
        <f>'[1]szczegóły'!AM33</f>
        <v>1.31</v>
      </c>
      <c r="I34" s="36">
        <f>'[1]szczegóły'!AQ33</f>
        <v>6</v>
      </c>
      <c r="J34" s="10">
        <f>'[1]szczegóły'!AW33</f>
        <v>497529</v>
      </c>
      <c r="K34" s="250">
        <f>'[1]szczegóły'!AX33</f>
        <v>497516.73</v>
      </c>
      <c r="L34" s="251">
        <f>'[1]szczegóły'!BC33</f>
        <v>14323</v>
      </c>
      <c r="M34" s="250">
        <f>'[1]szczegóły'!BD33</f>
        <v>14322.8</v>
      </c>
      <c r="N34" s="36">
        <f t="shared" si="1"/>
        <v>567.9414726027397</v>
      </c>
    </row>
    <row r="35" spans="1:14" s="119" customFormat="1" ht="12.75" customHeight="1">
      <c r="A35" s="249" t="s">
        <v>293</v>
      </c>
      <c r="B35" s="36">
        <f>'[1]szczegóły'!C34</f>
        <v>106</v>
      </c>
      <c r="C35" s="36">
        <f>'[1]szczegóły'!K34</f>
        <v>58</v>
      </c>
      <c r="D35" s="36">
        <f>'[1]szczegóły'!O34</f>
        <v>5</v>
      </c>
      <c r="E35" s="36">
        <f>'[1]szczegóły'!Q34</f>
        <v>105</v>
      </c>
      <c r="F35" s="36">
        <f t="shared" si="0"/>
        <v>19</v>
      </c>
      <c r="G35" s="36">
        <f>'[1]szczegóły'!AC34</f>
        <v>9.09</v>
      </c>
      <c r="H35" s="36">
        <f>'[1]szczegóły'!AM34</f>
        <v>1.83</v>
      </c>
      <c r="I35" s="36">
        <f>'[1]szczegóły'!AQ34</f>
        <v>8.08</v>
      </c>
      <c r="J35" s="10">
        <f>'[1]szczegóły'!AW34</f>
        <v>717340</v>
      </c>
      <c r="K35" s="250">
        <f>'[1]szczegóły'!AX34</f>
        <v>714785.3</v>
      </c>
      <c r="L35" s="251">
        <f>'[1]szczegóły'!BC34</f>
        <v>84252</v>
      </c>
      <c r="M35" s="250">
        <f>'[1]szczegóły'!BD34</f>
        <v>81697.3</v>
      </c>
      <c r="N35" s="36">
        <f t="shared" si="1"/>
        <v>561.9381289308177</v>
      </c>
    </row>
    <row r="36" spans="1:14" s="119" customFormat="1" ht="12.75" customHeight="1">
      <c r="A36" s="249" t="s">
        <v>294</v>
      </c>
      <c r="B36" s="36">
        <f>'[1]szczegóły'!C35</f>
        <v>99</v>
      </c>
      <c r="C36" s="36">
        <f>'[1]szczegóły'!K35</f>
        <v>67</v>
      </c>
      <c r="D36" s="36">
        <f>'[1]szczegóły'!O35</f>
        <v>4.33</v>
      </c>
      <c r="E36" s="36">
        <f>'[1]szczegóły'!Q35</f>
        <v>100</v>
      </c>
      <c r="F36" s="36">
        <f t="shared" si="0"/>
        <v>21.15</v>
      </c>
      <c r="G36" s="36">
        <f>'[1]szczegóły'!AC35</f>
        <v>12.07</v>
      </c>
      <c r="H36" s="36">
        <f>'[1]szczegóły'!AM35</f>
        <v>1.75</v>
      </c>
      <c r="I36" s="36">
        <f>'[1]szczegóły'!AQ35</f>
        <v>7.33</v>
      </c>
      <c r="J36" s="10">
        <f>'[1]szczegóły'!AW35</f>
        <v>588032</v>
      </c>
      <c r="K36" s="250">
        <f>'[1]szczegóły'!AX35</f>
        <v>587976.2</v>
      </c>
      <c r="L36" s="251">
        <f>'[1]szczegóły'!BC35</f>
        <v>0</v>
      </c>
      <c r="M36" s="250">
        <f>'[1]szczegóły'!BD35</f>
        <v>0</v>
      </c>
      <c r="N36" s="36">
        <f t="shared" si="1"/>
        <v>494.92946127946124</v>
      </c>
    </row>
    <row r="37" spans="1:14" s="119" customFormat="1" ht="12.75" customHeight="1">
      <c r="A37" s="249" t="s">
        <v>295</v>
      </c>
      <c r="B37" s="36">
        <f>'[1]szczegóły'!C36</f>
        <v>171.08</v>
      </c>
      <c r="C37" s="36">
        <f>'[1]szczegóły'!K36</f>
        <v>163.83</v>
      </c>
      <c r="D37" s="36">
        <f>'[1]szczegóły'!O36</f>
        <v>7</v>
      </c>
      <c r="E37" s="36">
        <f>'[1]szczegóły'!Q36</f>
        <v>171.08</v>
      </c>
      <c r="F37" s="36">
        <f t="shared" si="0"/>
        <v>32.230000000000004</v>
      </c>
      <c r="G37" s="36">
        <f>'[1]szczegóły'!AC36</f>
        <v>16.98</v>
      </c>
      <c r="H37" s="36">
        <f>'[1]szczegóły'!AM36</f>
        <v>2.5</v>
      </c>
      <c r="I37" s="36">
        <f>'[1]szczegóły'!AQ36</f>
        <v>12.75</v>
      </c>
      <c r="J37" s="10">
        <f>'[1]szczegóły'!AW36</f>
        <v>912166</v>
      </c>
      <c r="K37" s="250">
        <f>'[1]szczegóły'!AX36</f>
        <v>912166</v>
      </c>
      <c r="L37" s="251">
        <f>'[1]szczegóły'!BC36</f>
        <v>0</v>
      </c>
      <c r="M37" s="250">
        <f>'[1]szczegóły'!BD36</f>
        <v>0</v>
      </c>
      <c r="N37" s="36">
        <f t="shared" si="1"/>
        <v>444.317473306835</v>
      </c>
    </row>
    <row r="38" spans="1:14" s="119" customFormat="1" ht="12.75" customHeight="1">
      <c r="A38" s="249" t="s">
        <v>296</v>
      </c>
      <c r="B38" s="36">
        <f>'[1]szczegóły'!C37</f>
        <v>142.25</v>
      </c>
      <c r="C38" s="36">
        <f>'[1]szczegóły'!K37</f>
        <v>98</v>
      </c>
      <c r="D38" s="36">
        <f>'[1]szczegóły'!O37</f>
        <v>6.33</v>
      </c>
      <c r="E38" s="36">
        <f>'[1]szczegóły'!Q37</f>
        <v>130.25</v>
      </c>
      <c r="F38" s="36">
        <f t="shared" si="0"/>
        <v>24.14</v>
      </c>
      <c r="G38" s="36">
        <f>'[1]szczegóły'!AC37</f>
        <v>12.05</v>
      </c>
      <c r="H38" s="36">
        <f>'[1]szczegóły'!AM37</f>
        <v>1.88</v>
      </c>
      <c r="I38" s="36">
        <f>'[1]szczegóły'!AQ37</f>
        <v>10.21</v>
      </c>
      <c r="J38" s="10">
        <f>'[1]szczegóły'!AW37</f>
        <v>888535</v>
      </c>
      <c r="K38" s="250">
        <f>'[1]szczegóły'!AX37</f>
        <v>848534.99</v>
      </c>
      <c r="L38" s="251">
        <f>'[1]szczegóły'!BC37</f>
        <v>30188</v>
      </c>
      <c r="M38" s="250">
        <f>'[1]szczegóły'!BD37</f>
        <v>30188</v>
      </c>
      <c r="N38" s="36">
        <f t="shared" si="1"/>
        <v>497.0913825424722</v>
      </c>
    </row>
    <row r="39" spans="1:14" s="119" customFormat="1" ht="12.75" customHeight="1">
      <c r="A39" s="249" t="s">
        <v>297</v>
      </c>
      <c r="B39" s="36">
        <f>'[1]szczegóły'!C38</f>
        <v>101.25</v>
      </c>
      <c r="C39" s="36">
        <f>'[1]szczegóły'!K38</f>
        <v>78.25</v>
      </c>
      <c r="D39" s="36">
        <f>'[1]szczegóły'!O38</f>
        <v>4</v>
      </c>
      <c r="E39" s="36">
        <f>'[1]szczegóły'!Q38</f>
        <v>91.66</v>
      </c>
      <c r="F39" s="36">
        <f t="shared" si="0"/>
        <v>19.18</v>
      </c>
      <c r="G39" s="36">
        <f>'[1]szczegóły'!AC38</f>
        <v>10.6</v>
      </c>
      <c r="H39" s="36">
        <f>'[1]szczegóły'!AM38</f>
        <v>1.28</v>
      </c>
      <c r="I39" s="36">
        <f>'[1]szczegóły'!AQ38</f>
        <v>7.3</v>
      </c>
      <c r="J39" s="10">
        <f>'[1]szczegóły'!AW38</f>
        <v>551892</v>
      </c>
      <c r="K39" s="250">
        <f>'[1]szczegóły'!AX38</f>
        <v>551892</v>
      </c>
      <c r="L39" s="251">
        <f>'[1]szczegóły'!BC38</f>
        <v>5063</v>
      </c>
      <c r="M39" s="250">
        <f>'[1]szczegóły'!BD38</f>
        <v>5063</v>
      </c>
      <c r="N39" s="36">
        <f t="shared" si="1"/>
        <v>454.2320987654321</v>
      </c>
    </row>
    <row r="40" spans="1:14" s="119" customFormat="1" ht="12.75" customHeight="1">
      <c r="A40" s="249" t="s">
        <v>298</v>
      </c>
      <c r="B40" s="36">
        <f>'[1]szczegóły'!C39</f>
        <v>144</v>
      </c>
      <c r="C40" s="36">
        <f>'[1]szczegóły'!K39</f>
        <v>99</v>
      </c>
      <c r="D40" s="36">
        <f>'[1]szczegóły'!O39</f>
        <v>7</v>
      </c>
      <c r="E40" s="36">
        <f>'[1]szczegóły'!Q39</f>
        <v>115</v>
      </c>
      <c r="F40" s="36">
        <f t="shared" si="0"/>
        <v>26.17</v>
      </c>
      <c r="G40" s="36">
        <f>'[1]szczegóły'!AC39</f>
        <v>14.459999999999999</v>
      </c>
      <c r="H40" s="36">
        <f>'[1]szczegóły'!AM39</f>
        <v>2</v>
      </c>
      <c r="I40" s="36">
        <f>'[1]szczegóły'!AQ39</f>
        <v>9.71</v>
      </c>
      <c r="J40" s="10">
        <f>'[1]szczegóły'!AW39</f>
        <v>837895</v>
      </c>
      <c r="K40" s="250">
        <f>'[1]szczegóły'!AX39</f>
        <v>837895</v>
      </c>
      <c r="L40" s="251">
        <f>'[1]szczegóły'!BC39</f>
        <v>0</v>
      </c>
      <c r="M40" s="250">
        <f>'[1]szczegóły'!BD39</f>
        <v>0</v>
      </c>
      <c r="N40" s="36">
        <f t="shared" si="1"/>
        <v>484.8929398148148</v>
      </c>
    </row>
    <row r="41" spans="1:14" s="119" customFormat="1" ht="12.75" customHeight="1">
      <c r="A41" s="249" t="s">
        <v>299</v>
      </c>
      <c r="B41" s="36">
        <f>'[1]szczegóły'!C40</f>
        <v>102</v>
      </c>
      <c r="C41" s="36">
        <f>'[1]szczegóły'!K40</f>
        <v>89</v>
      </c>
      <c r="D41" s="36">
        <f>'[1]szczegóły'!O40</f>
        <v>4</v>
      </c>
      <c r="E41" s="36">
        <f>'[1]szczegóły'!Q40</f>
        <v>102</v>
      </c>
      <c r="F41" s="36">
        <f t="shared" si="0"/>
        <v>20.25</v>
      </c>
      <c r="G41" s="36">
        <f>'[1]szczegóły'!AC40</f>
        <v>9</v>
      </c>
      <c r="H41" s="36">
        <f>'[1]szczegóły'!AM40</f>
        <v>1.75</v>
      </c>
      <c r="I41" s="36">
        <f>'[1]szczegóły'!AQ40</f>
        <v>9.5</v>
      </c>
      <c r="J41" s="10">
        <f>'[1]szczegóły'!AW40</f>
        <v>619787</v>
      </c>
      <c r="K41" s="250">
        <f>'[1]szczegóły'!AX40</f>
        <v>619708.4</v>
      </c>
      <c r="L41" s="251">
        <f>'[1]szczegóły'!BC40</f>
        <v>0</v>
      </c>
      <c r="M41" s="250">
        <f>'[1]szczegóły'!BD40</f>
        <v>0</v>
      </c>
      <c r="N41" s="36">
        <f t="shared" si="1"/>
        <v>506.2977124183007</v>
      </c>
    </row>
    <row r="42" spans="1:14" s="119" customFormat="1" ht="12.75" customHeight="1">
      <c r="A42" s="249" t="s">
        <v>300</v>
      </c>
      <c r="B42" s="36">
        <f>'[1]szczegóły'!C41</f>
        <v>154.49</v>
      </c>
      <c r="C42" s="36">
        <f>'[1]szczegóły'!K41</f>
        <v>147.33</v>
      </c>
      <c r="D42" s="36">
        <f>'[1]szczegóły'!O41</f>
        <v>6.33</v>
      </c>
      <c r="E42" s="36">
        <f>'[1]szczegóły'!Q41</f>
        <v>154.5</v>
      </c>
      <c r="F42" s="36">
        <f t="shared" si="0"/>
        <v>27.97</v>
      </c>
      <c r="G42" s="36">
        <f>'[1]szczegóły'!AC41</f>
        <v>13.43</v>
      </c>
      <c r="H42" s="36">
        <f>'[1]szczegóły'!AM41</f>
        <v>2.08</v>
      </c>
      <c r="I42" s="36">
        <f>'[1]szczegóły'!AQ41</f>
        <v>12.46</v>
      </c>
      <c r="J42" s="10">
        <f>'[1]szczegóły'!AW41</f>
        <v>765808</v>
      </c>
      <c r="K42" s="250">
        <f>'[1]szczegóły'!AX41</f>
        <v>765808</v>
      </c>
      <c r="L42" s="251">
        <f>'[1]szczegóły'!BC41</f>
        <v>0</v>
      </c>
      <c r="M42" s="250">
        <f>'[1]szczegóły'!BD41</f>
        <v>0</v>
      </c>
      <c r="N42" s="36">
        <f t="shared" si="1"/>
        <v>413.083910501219</v>
      </c>
    </row>
    <row r="43" spans="1:14" s="119" customFormat="1" ht="12.75" customHeight="1">
      <c r="A43" s="249" t="s">
        <v>301</v>
      </c>
      <c r="B43" s="36">
        <f>'[1]szczegóły'!C42</f>
        <v>91</v>
      </c>
      <c r="C43" s="36">
        <f>'[1]szczegóły'!K42</f>
        <v>85</v>
      </c>
      <c r="D43" s="36">
        <f>'[1]szczegóły'!O42</f>
        <v>30</v>
      </c>
      <c r="E43" s="36">
        <f>'[1]szczegóły'!Q42</f>
        <v>91</v>
      </c>
      <c r="F43" s="36">
        <f t="shared" si="0"/>
        <v>19.25</v>
      </c>
      <c r="G43" s="36">
        <f>'[1]szczegóły'!AC42</f>
        <v>9.42</v>
      </c>
      <c r="H43" s="36">
        <f>'[1]szczegóły'!AM42</f>
        <v>1.83</v>
      </c>
      <c r="I43" s="36">
        <f>'[1]szczegóły'!AQ42</f>
        <v>8</v>
      </c>
      <c r="J43" s="10">
        <f>'[1]szczegóły'!AW42</f>
        <v>536556</v>
      </c>
      <c r="K43" s="250">
        <f>'[1]szczegóły'!AX42</f>
        <v>536556</v>
      </c>
      <c r="L43" s="251">
        <f>'[1]szczegóły'!BC42</f>
        <v>0</v>
      </c>
      <c r="M43" s="250">
        <f>'[1]szczegóły'!BD42</f>
        <v>0</v>
      </c>
      <c r="N43" s="36">
        <f t="shared" si="1"/>
        <v>491.3516483516484</v>
      </c>
    </row>
    <row r="44" spans="1:14" s="119" customFormat="1" ht="12.75" customHeight="1">
      <c r="A44" s="249" t="s">
        <v>302</v>
      </c>
      <c r="B44" s="36">
        <f>'[1]szczegóły'!C43</f>
        <v>86</v>
      </c>
      <c r="C44" s="36">
        <f>'[1]szczegóły'!K43</f>
        <v>71</v>
      </c>
      <c r="D44" s="36">
        <f>'[1]szczegóły'!O43</f>
        <v>4</v>
      </c>
      <c r="E44" s="36">
        <f>'[1]szczegóły'!Q43</f>
        <v>86</v>
      </c>
      <c r="F44" s="36">
        <f t="shared" si="0"/>
        <v>18.560000000000002</v>
      </c>
      <c r="G44" s="36">
        <f>'[1]szczegóły'!AC43</f>
        <v>9.290000000000001</v>
      </c>
      <c r="H44" s="36">
        <f>'[1]szczegóły'!AM43</f>
        <v>1.73</v>
      </c>
      <c r="I44" s="36">
        <f>'[1]szczegóły'!AQ43</f>
        <v>7.54</v>
      </c>
      <c r="J44" s="10">
        <f>'[1]szczegóły'!AW43</f>
        <v>541737</v>
      </c>
      <c r="K44" s="250">
        <f>'[1]szczegóły'!AX43</f>
        <v>541734.94</v>
      </c>
      <c r="L44" s="251">
        <f>'[1]szczegóły'!BC43</f>
        <v>4000</v>
      </c>
      <c r="M44" s="250">
        <f>'[1]szczegóły'!BD43</f>
        <v>3997.94</v>
      </c>
      <c r="N44" s="36">
        <f t="shared" si="1"/>
        <v>524.9369573643411</v>
      </c>
    </row>
    <row r="45" spans="1:14" s="119" customFormat="1" ht="18.75" customHeight="1">
      <c r="A45" s="252" t="s">
        <v>303</v>
      </c>
      <c r="B45" s="46">
        <f aca="true" t="shared" si="2" ref="B45:M45">SUM(B8:B44)</f>
        <v>3802.7799999999997</v>
      </c>
      <c r="C45" s="46">
        <f t="shared" si="2"/>
        <v>3157.9699999999993</v>
      </c>
      <c r="D45" s="46">
        <f t="shared" si="2"/>
        <v>191.28000000000003</v>
      </c>
      <c r="E45" s="46">
        <f t="shared" si="2"/>
        <v>3561.6099999999997</v>
      </c>
      <c r="F45" s="46">
        <f t="shared" si="2"/>
        <v>737.6469999999999</v>
      </c>
      <c r="G45" s="46">
        <f t="shared" si="2"/>
        <v>366.36800000000005</v>
      </c>
      <c r="H45" s="46">
        <f t="shared" si="2"/>
        <v>66.13000000000001</v>
      </c>
      <c r="I45" s="46">
        <f t="shared" si="2"/>
        <v>305.149</v>
      </c>
      <c r="J45" s="14">
        <f t="shared" si="2"/>
        <v>23462170</v>
      </c>
      <c r="K45" s="46">
        <f t="shared" si="2"/>
        <v>23308444.799999997</v>
      </c>
      <c r="L45" s="14">
        <f t="shared" si="2"/>
        <v>192624</v>
      </c>
      <c r="M45" s="46">
        <f t="shared" si="2"/>
        <v>190057.82</v>
      </c>
      <c r="N45" s="253">
        <f t="shared" si="1"/>
        <v>510.77643197871026</v>
      </c>
    </row>
    <row r="46" spans="1:14" s="119" customFormat="1" ht="15" customHeight="1">
      <c r="A46" s="254" t="s">
        <v>304</v>
      </c>
      <c r="B46" s="36"/>
      <c r="C46" s="36"/>
      <c r="D46" s="36"/>
      <c r="E46" s="36"/>
      <c r="F46" s="36"/>
      <c r="G46" s="36"/>
      <c r="H46" s="36"/>
      <c r="I46" s="36"/>
      <c r="J46" s="35"/>
      <c r="K46" s="34"/>
      <c r="L46" s="35"/>
      <c r="M46" s="34"/>
      <c r="N46" s="36"/>
    </row>
    <row r="47" spans="1:14" s="257" customFormat="1" ht="18.75" customHeight="1">
      <c r="A47" s="255" t="s">
        <v>303</v>
      </c>
      <c r="B47" s="253">
        <f aca="true" t="shared" si="3" ref="B47:N47">B45+B46</f>
        <v>3802.7799999999997</v>
      </c>
      <c r="C47" s="253">
        <f t="shared" si="3"/>
        <v>3157.9699999999993</v>
      </c>
      <c r="D47" s="253">
        <f t="shared" si="3"/>
        <v>191.28000000000003</v>
      </c>
      <c r="E47" s="253">
        <f t="shared" si="3"/>
        <v>3561.6099999999997</v>
      </c>
      <c r="F47" s="253">
        <f t="shared" si="3"/>
        <v>737.6469999999999</v>
      </c>
      <c r="G47" s="253">
        <f t="shared" si="3"/>
        <v>366.36800000000005</v>
      </c>
      <c r="H47" s="253">
        <f t="shared" si="3"/>
        <v>66.13000000000001</v>
      </c>
      <c r="I47" s="253">
        <f t="shared" si="3"/>
        <v>305.149</v>
      </c>
      <c r="J47" s="256">
        <f t="shared" si="3"/>
        <v>23462170</v>
      </c>
      <c r="K47" s="253">
        <f t="shared" si="3"/>
        <v>23308444.799999997</v>
      </c>
      <c r="L47" s="256">
        <f t="shared" si="3"/>
        <v>192624</v>
      </c>
      <c r="M47" s="253">
        <f t="shared" si="3"/>
        <v>190057.82</v>
      </c>
      <c r="N47" s="253">
        <f t="shared" si="3"/>
        <v>510.77643197871026</v>
      </c>
    </row>
    <row r="48" spans="2:14" s="93" customFormat="1" ht="12.75">
      <c r="B48" s="258"/>
      <c r="C48" s="258"/>
      <c r="D48" s="258"/>
      <c r="E48" s="258"/>
      <c r="F48" s="258"/>
      <c r="G48" s="258"/>
      <c r="H48" s="258"/>
      <c r="I48" s="258"/>
      <c r="J48" s="116"/>
      <c r="K48" s="258"/>
      <c r="L48" s="258"/>
      <c r="M48" s="258"/>
      <c r="N48" s="258"/>
    </row>
    <row r="49" spans="2:14" s="93" customFormat="1" ht="12.75">
      <c r="B49" s="258"/>
      <c r="C49" s="258"/>
      <c r="D49" s="258"/>
      <c r="E49" s="258"/>
      <c r="F49" s="258"/>
      <c r="G49" s="258"/>
      <c r="H49" s="258"/>
      <c r="I49" s="258"/>
      <c r="J49" s="116"/>
      <c r="K49" s="258"/>
      <c r="L49" s="258"/>
      <c r="M49" s="258"/>
      <c r="N49" s="258"/>
    </row>
    <row r="50" spans="2:14" s="93" customFormat="1" ht="12.75">
      <c r="B50" s="258"/>
      <c r="C50" s="258"/>
      <c r="D50" s="258"/>
      <c r="E50" s="258"/>
      <c r="F50" s="258"/>
      <c r="G50" s="258"/>
      <c r="H50" s="258"/>
      <c r="I50" s="258"/>
      <c r="J50" s="116"/>
      <c r="K50" s="258"/>
      <c r="L50" s="258"/>
      <c r="M50" s="258"/>
      <c r="N50" s="258"/>
    </row>
    <row r="51" spans="1:14" s="93" customFormat="1" ht="12.75">
      <c r="A51" s="259" t="s">
        <v>305</v>
      </c>
      <c r="B51" s="260"/>
      <c r="C51" s="260"/>
      <c r="D51" s="260"/>
      <c r="E51" s="260"/>
      <c r="F51" s="260"/>
      <c r="G51" s="260"/>
      <c r="H51" s="260"/>
      <c r="I51" s="260"/>
      <c r="J51" s="261">
        <v>13130</v>
      </c>
      <c r="K51" s="260">
        <v>13125</v>
      </c>
      <c r="L51" s="260"/>
      <c r="M51" s="260"/>
      <c r="N51" s="260"/>
    </row>
    <row r="52" spans="1:14" s="119" customFormat="1" ht="18.75" customHeight="1">
      <c r="A52" s="252" t="s">
        <v>303</v>
      </c>
      <c r="B52" s="46">
        <f aca="true" t="shared" si="4" ref="B52:N52">B47+B51</f>
        <v>3802.7799999999997</v>
      </c>
      <c r="C52" s="46">
        <f t="shared" si="4"/>
        <v>3157.9699999999993</v>
      </c>
      <c r="D52" s="46">
        <f t="shared" si="4"/>
        <v>191.28000000000003</v>
      </c>
      <c r="E52" s="46">
        <f t="shared" si="4"/>
        <v>3561.6099999999997</v>
      </c>
      <c r="F52" s="46">
        <f t="shared" si="4"/>
        <v>737.6469999999999</v>
      </c>
      <c r="G52" s="46">
        <f t="shared" si="4"/>
        <v>366.36800000000005</v>
      </c>
      <c r="H52" s="46">
        <f t="shared" si="4"/>
        <v>66.13000000000001</v>
      </c>
      <c r="I52" s="46">
        <f t="shared" si="4"/>
        <v>305.149</v>
      </c>
      <c r="J52" s="14">
        <f t="shared" si="4"/>
        <v>23475300</v>
      </c>
      <c r="K52" s="46">
        <f t="shared" si="4"/>
        <v>23321569.799999997</v>
      </c>
      <c r="L52" s="14">
        <f t="shared" si="4"/>
        <v>192624</v>
      </c>
      <c r="M52" s="46">
        <f t="shared" si="4"/>
        <v>190057.82</v>
      </c>
      <c r="N52" s="46">
        <f t="shared" si="4"/>
        <v>510.77643197871026</v>
      </c>
    </row>
    <row r="53" spans="10:13" s="93" customFormat="1" ht="12.75">
      <c r="J53" s="116"/>
      <c r="K53" s="258"/>
      <c r="L53" s="258"/>
      <c r="M53" s="258"/>
    </row>
    <row r="54" spans="10:13" s="93" customFormat="1" ht="12.75">
      <c r="J54" s="116"/>
      <c r="K54" s="258"/>
      <c r="L54" s="258"/>
      <c r="M54" s="258"/>
    </row>
    <row r="55" spans="10:13" s="93" customFormat="1" ht="12.75">
      <c r="J55" s="116"/>
      <c r="K55" s="258"/>
      <c r="L55" s="258"/>
      <c r="M55" s="258"/>
    </row>
    <row r="56" spans="10:13" s="93" customFormat="1" ht="12.75">
      <c r="J56" s="116"/>
      <c r="K56" s="258"/>
      <c r="L56" s="258"/>
      <c r="M56" s="258"/>
    </row>
    <row r="57" spans="10:13" s="93" customFormat="1" ht="12.75">
      <c r="J57" s="116"/>
      <c r="K57" s="258"/>
      <c r="L57" s="258"/>
      <c r="M57" s="258"/>
    </row>
    <row r="58" spans="10:13" s="93" customFormat="1" ht="12.75">
      <c r="J58" s="116"/>
      <c r="K58" s="258"/>
      <c r="L58" s="258"/>
      <c r="M58" s="258"/>
    </row>
    <row r="59" spans="10:13" s="93" customFormat="1" ht="12.75">
      <c r="J59" s="116"/>
      <c r="K59" s="258"/>
      <c r="L59" s="258"/>
      <c r="M59" s="258"/>
    </row>
    <row r="60" spans="10:13" s="93" customFormat="1" ht="12.75">
      <c r="J60" s="116"/>
      <c r="K60" s="258"/>
      <c r="L60" s="258"/>
      <c r="M60" s="258"/>
    </row>
    <row r="61" spans="10:13" s="93" customFormat="1" ht="12.75">
      <c r="J61" s="116"/>
      <c r="K61" s="258"/>
      <c r="L61" s="258"/>
      <c r="M61" s="258"/>
    </row>
    <row r="62" spans="10:13" s="93" customFormat="1" ht="12.75">
      <c r="J62" s="116"/>
      <c r="K62" s="258"/>
      <c r="L62" s="258"/>
      <c r="M62" s="258"/>
    </row>
    <row r="63" spans="10:13" s="93" customFormat="1" ht="12.75">
      <c r="J63" s="116"/>
      <c r="K63" s="258"/>
      <c r="L63" s="258"/>
      <c r="M63" s="258"/>
    </row>
    <row r="64" spans="10:13" s="93" customFormat="1" ht="12.75">
      <c r="J64" s="116"/>
      <c r="K64" s="258"/>
      <c r="L64" s="258"/>
      <c r="M64" s="258"/>
    </row>
    <row r="65" spans="10:13" s="93" customFormat="1" ht="12.75">
      <c r="J65" s="116"/>
      <c r="K65" s="258"/>
      <c r="L65" s="258"/>
      <c r="M65" s="258"/>
    </row>
    <row r="66" spans="10:13" s="93" customFormat="1" ht="12.75">
      <c r="J66" s="116"/>
      <c r="K66" s="258"/>
      <c r="L66" s="258"/>
      <c r="M66" s="258"/>
    </row>
    <row r="67" spans="10:13" s="93" customFormat="1" ht="12.75">
      <c r="J67" s="116"/>
      <c r="K67" s="258"/>
      <c r="L67" s="258"/>
      <c r="M67" s="258"/>
    </row>
    <row r="68" spans="10:13" s="93" customFormat="1" ht="12.75">
      <c r="J68" s="116"/>
      <c r="K68" s="258"/>
      <c r="L68" s="258"/>
      <c r="M68" s="258"/>
    </row>
    <row r="69" spans="10:13" s="93" customFormat="1" ht="12.75">
      <c r="J69" s="116"/>
      <c r="K69" s="258"/>
      <c r="L69" s="258"/>
      <c r="M69" s="258"/>
    </row>
    <row r="70" spans="10:13" s="93" customFormat="1" ht="12.75">
      <c r="J70" s="116"/>
      <c r="K70" s="258"/>
      <c r="L70" s="258"/>
      <c r="M70" s="258"/>
    </row>
    <row r="71" spans="10:13" s="93" customFormat="1" ht="12.75">
      <c r="J71" s="116"/>
      <c r="K71" s="258"/>
      <c r="L71" s="258"/>
      <c r="M71" s="258"/>
    </row>
    <row r="72" spans="10:13" s="93" customFormat="1" ht="12.75">
      <c r="J72" s="116"/>
      <c r="K72" s="258"/>
      <c r="L72" s="258"/>
      <c r="M72" s="258"/>
    </row>
    <row r="73" spans="10:13" s="93" customFormat="1" ht="12.75">
      <c r="J73" s="116"/>
      <c r="K73" s="258"/>
      <c r="L73" s="258"/>
      <c r="M73" s="258"/>
    </row>
    <row r="74" spans="10:13" s="93" customFormat="1" ht="12.75">
      <c r="J74" s="116"/>
      <c r="K74" s="258"/>
      <c r="L74" s="258"/>
      <c r="M74" s="258"/>
    </row>
    <row r="75" spans="10:13" s="93" customFormat="1" ht="12.75">
      <c r="J75" s="116"/>
      <c r="K75" s="258"/>
      <c r="L75" s="258"/>
      <c r="M75" s="258"/>
    </row>
  </sheetData>
  <sheetProtection/>
  <mergeCells count="15">
    <mergeCell ref="A2:N2"/>
    <mergeCell ref="E4:E7"/>
    <mergeCell ref="I6:I7"/>
    <mergeCell ref="H6:H7"/>
    <mergeCell ref="J4:K6"/>
    <mergeCell ref="L4:M6"/>
    <mergeCell ref="A4:A7"/>
    <mergeCell ref="B4:B7"/>
    <mergeCell ref="N4:N7"/>
    <mergeCell ref="C4:C7"/>
    <mergeCell ref="D4:D7"/>
    <mergeCell ref="F4:I4"/>
    <mergeCell ref="F5:F7"/>
    <mergeCell ref="G5:I5"/>
    <mergeCell ref="G6:G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Gdyni</dc:creator>
  <cp:keywords/>
  <dc:description/>
  <cp:lastModifiedBy>kbaza</cp:lastModifiedBy>
  <cp:lastPrinted>2008-03-11T10:50:36Z</cp:lastPrinted>
  <dcterms:created xsi:type="dcterms:W3CDTF">1998-01-19T07:38:13Z</dcterms:created>
  <dcterms:modified xsi:type="dcterms:W3CDTF">2008-03-11T10:53:45Z</dcterms:modified>
  <cp:category/>
  <cp:version/>
  <cp:contentType/>
  <cp:contentStatus/>
</cp:coreProperties>
</file>