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00" windowWidth="11340" windowHeight="6540" tabRatio="594" activeTab="5"/>
  </bookViews>
  <sheets>
    <sheet name="zał nr 1" sheetId="1" r:id="rId1"/>
    <sheet name="zał nr 2" sheetId="2" r:id="rId2"/>
    <sheet name="zał nr 3" sheetId="3" r:id="rId3"/>
    <sheet name="zał nr 4" sheetId="4" r:id="rId4"/>
    <sheet name="zał nr 5" sheetId="5" r:id="rId5"/>
    <sheet name="zał nr 6" sheetId="6" r:id="rId6"/>
  </sheets>
  <definedNames>
    <definedName name="_xlnm.Print_Titles" localSheetId="0">'zał nr 1'!$A:$A,'zał nr 1'!$4:$4</definedName>
    <definedName name="_xlnm.Print_Titles" localSheetId="2">'zał nr 3'!$5:$7</definedName>
    <definedName name="_xlnm.Print_Titles" localSheetId="5">'zał nr 6'!$A:$A,'zał nr 6'!$4:$4</definedName>
  </definedNames>
  <calcPr fullCalcOnLoad="1" fullPrecision="0"/>
</workbook>
</file>

<file path=xl/sharedStrings.xml><?xml version="1.0" encoding="utf-8"?>
<sst xmlns="http://schemas.openxmlformats.org/spreadsheetml/2006/main" count="445" uniqueCount="251">
  <si>
    <t>Jedn. organiz.</t>
  </si>
  <si>
    <t>Wydatki ogółem</t>
  </si>
  <si>
    <t>§ 4010</t>
  </si>
  <si>
    <t>§ 4040</t>
  </si>
  <si>
    <t>§ 4110</t>
  </si>
  <si>
    <t>§ 4120</t>
  </si>
  <si>
    <t>§ 3020</t>
  </si>
  <si>
    <t>§ 4440</t>
  </si>
  <si>
    <t>§ 4210</t>
  </si>
  <si>
    <t>§ 4260</t>
  </si>
  <si>
    <t>§ 4270</t>
  </si>
  <si>
    <t>§ 4300</t>
  </si>
  <si>
    <t>§ 4280</t>
  </si>
  <si>
    <t>SP nr  13</t>
  </si>
  <si>
    <t>Ilość dzieci</t>
  </si>
  <si>
    <t>koszt/1 ucznia</t>
  </si>
  <si>
    <t>§  4010</t>
  </si>
  <si>
    <t>§  4110</t>
  </si>
  <si>
    <t>§  4120</t>
  </si>
  <si>
    <t>§ 4240</t>
  </si>
  <si>
    <t>§ 4410</t>
  </si>
  <si>
    <t>Razem</t>
  </si>
  <si>
    <t xml:space="preserve"> </t>
  </si>
  <si>
    <t>OGÓŁEM</t>
  </si>
  <si>
    <t>liczba uczniów</t>
  </si>
  <si>
    <t>§ 4010 bez nieperiodycznych</t>
  </si>
  <si>
    <t>§ 4140</t>
  </si>
  <si>
    <t>§ 4430</t>
  </si>
  <si>
    <t>Razem wydatki rzeczowe</t>
  </si>
  <si>
    <t>Razem wydatki</t>
  </si>
  <si>
    <t>Gimnazjum Nr 1</t>
  </si>
  <si>
    <t>Gimnazjum Nr 2</t>
  </si>
  <si>
    <t>Gimnazjum Nr 3</t>
  </si>
  <si>
    <t>Gimnazjum Nr 4</t>
  </si>
  <si>
    <t>Gimnazjum Nr 5</t>
  </si>
  <si>
    <t>Gimnazjum Nr 6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</si>
  <si>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</si>
  <si>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</si>
  <si>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</si>
  <si>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</si>
  <si>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</si>
  <si>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</si>
  <si>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</si>
  <si>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</si>
  <si>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</si>
  <si>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</si>
  <si>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</si>
  <si>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</si>
  <si>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</si>
  <si>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Gimnazjum Nr 20</t>
  </si>
  <si>
    <t>Gimnazjum Nr 23</t>
  </si>
  <si>
    <t>Gimnazjum Nr 24</t>
  </si>
  <si>
    <t>Gimnazja    80110</t>
  </si>
  <si>
    <t>Ilość uczn</t>
  </si>
  <si>
    <t>wyd.rzecz.</t>
  </si>
  <si>
    <t>śr.na podw</t>
  </si>
  <si>
    <t>Ogółem</t>
  </si>
  <si>
    <t>§4170</t>
  </si>
  <si>
    <t>§4350</t>
  </si>
  <si>
    <t>§ 4170</t>
  </si>
  <si>
    <t>wydatki rzeczowe</t>
  </si>
  <si>
    <t>G 1</t>
  </si>
  <si>
    <t>G 3</t>
  </si>
  <si>
    <t>G 4</t>
  </si>
  <si>
    <t>G 6</t>
  </si>
  <si>
    <t>§4280</t>
  </si>
  <si>
    <t>G 10</t>
  </si>
  <si>
    <t>G 11</t>
  </si>
  <si>
    <t>Gimn.dla doros.</t>
  </si>
  <si>
    <t>Wydatki rzeczowe</t>
  </si>
  <si>
    <t>koszt 1 ucznia</t>
  </si>
  <si>
    <t>Rozdział 85154 § 4220</t>
  </si>
  <si>
    <t>SP Nr 37</t>
  </si>
  <si>
    <t>G 14</t>
  </si>
  <si>
    <t>§ 6050</t>
  </si>
  <si>
    <t>§ 6060</t>
  </si>
  <si>
    <t>Dotacje dla placówek niepublicznych</t>
  </si>
  <si>
    <t>§ 4220 R.DZ</t>
  </si>
  <si>
    <t>Nagrody Prezydenta</t>
  </si>
  <si>
    <t>Rozdział 80113 § 4300</t>
  </si>
  <si>
    <t>Plany finansowe jednostek oświatowych na 2007 rok - szkoły podstawowe 80101</t>
  </si>
  <si>
    <t>Plany finansowe jednostek oświatowych na 2007 rok - oddziały przedszkolne w szkołach podstawowych 80103</t>
  </si>
  <si>
    <t>Plany finansowe jednostek oświatowych na 2007 rok - Świetlice szkolne 85401</t>
  </si>
  <si>
    <t>ZS Nr 2</t>
  </si>
  <si>
    <t>SP Nr 6</t>
  </si>
  <si>
    <t>ZS Nr 5</t>
  </si>
  <si>
    <t>SP Nr 10</t>
  </si>
  <si>
    <t>ZS Nr 6</t>
  </si>
  <si>
    <t>ZS Nr 7</t>
  </si>
  <si>
    <t>SP Nr 13</t>
  </si>
  <si>
    <t>ZSSOg.</t>
  </si>
  <si>
    <t>SP Nr 16</t>
  </si>
  <si>
    <t>SP Nr 17</t>
  </si>
  <si>
    <t>SP Nr 18</t>
  </si>
  <si>
    <t>SP Nr 20</t>
  </si>
  <si>
    <t>SP Nr 21</t>
  </si>
  <si>
    <t>SP Nr 23</t>
  </si>
  <si>
    <t>SP NR 26</t>
  </si>
  <si>
    <t>SP Nr 28</t>
  </si>
  <si>
    <t>SP Nr 29</t>
  </si>
  <si>
    <t>ZS Nr 9</t>
  </si>
  <si>
    <t>SP Nr 33</t>
  </si>
  <si>
    <t>SP Nr 34</t>
  </si>
  <si>
    <t>SP Nr 35</t>
  </si>
  <si>
    <t>SP Nr 39</t>
  </si>
  <si>
    <t>SP Nr 40</t>
  </si>
  <si>
    <t>ZS Nr 10</t>
  </si>
  <si>
    <t>ZS Nr 11</t>
  </si>
  <si>
    <t>ZS Nr 12</t>
  </si>
  <si>
    <t>SP Nr 45</t>
  </si>
  <si>
    <t>ZS Nr 13</t>
  </si>
  <si>
    <t>ZS Nr 14</t>
  </si>
  <si>
    <t>ZS Nr 15</t>
  </si>
  <si>
    <t>Jednostka organizacyjna</t>
  </si>
  <si>
    <t>Nr placówki</t>
  </si>
  <si>
    <t>Plany finansowe jednostek oświatowych na  2007 rok  - Gimnazja 80110</t>
  </si>
  <si>
    <t>SP Nr 26</t>
  </si>
  <si>
    <t>ZSOg. Nr 3</t>
  </si>
  <si>
    <t>SP NR 18</t>
  </si>
  <si>
    <t>ZSOg. Nr 6</t>
  </si>
  <si>
    <t>ZSOg.Nr 5</t>
  </si>
  <si>
    <t>G 13</t>
  </si>
  <si>
    <t>ZSOg.Nr 4</t>
  </si>
  <si>
    <t>§ 4360</t>
  </si>
  <si>
    <t>§ 4370</t>
  </si>
  <si>
    <t>§ 4740</t>
  </si>
  <si>
    <t>§ 4390</t>
  </si>
  <si>
    <t>§ 4750</t>
  </si>
  <si>
    <t>§ 4350</t>
  </si>
  <si>
    <t>§ 4217</t>
  </si>
  <si>
    <t>§ 4307</t>
  </si>
  <si>
    <t>§ 4427</t>
  </si>
  <si>
    <t>Wydatki Wydz.Budynków</t>
  </si>
  <si>
    <t xml:space="preserve">Rady Dzielnicy </t>
  </si>
  <si>
    <t>ZSS Nr 17</t>
  </si>
  <si>
    <t>Wydatki Wydziału Inwestycji</t>
  </si>
  <si>
    <t>Załącznik nr 1</t>
  </si>
  <si>
    <t>Załącznik nr 2</t>
  </si>
  <si>
    <t>Załącznik nr 4</t>
  </si>
  <si>
    <t>Załącznik nr 5</t>
  </si>
  <si>
    <t>PRZYCHODY</t>
  </si>
  <si>
    <t>ROZCHODY</t>
  </si>
  <si>
    <t>dn.10.11.2006</t>
  </si>
  <si>
    <t>NR</t>
  </si>
  <si>
    <t>W TYM</t>
  </si>
  <si>
    <t>STAN ŚR</t>
  </si>
  <si>
    <t>w tym</t>
  </si>
  <si>
    <t>Koszt</t>
  </si>
  <si>
    <t>PLAC.</t>
  </si>
  <si>
    <t>ILOŚĆ</t>
  </si>
  <si>
    <t xml:space="preserve">poza </t>
  </si>
  <si>
    <t>min.</t>
  </si>
  <si>
    <t>OBR. na</t>
  </si>
  <si>
    <t>dotacje</t>
  </si>
  <si>
    <t>RAZEM</t>
  </si>
  <si>
    <t>§ 401</t>
  </si>
  <si>
    <t>§ 404</t>
  </si>
  <si>
    <t>§ 411</t>
  </si>
  <si>
    <t>§ 412</t>
  </si>
  <si>
    <t>§ 417</t>
  </si>
  <si>
    <t>§ 444</t>
  </si>
  <si>
    <t>§ 422</t>
  </si>
  <si>
    <t>POZOST.</t>
  </si>
  <si>
    <t>OBR.na</t>
  </si>
  <si>
    <t>mies.</t>
  </si>
  <si>
    <t>DZIECI</t>
  </si>
  <si>
    <t>p.roku</t>
  </si>
  <si>
    <t>inne zw.</t>
  </si>
  <si>
    <t>k.roku</t>
  </si>
  <si>
    <t>1dz.</t>
  </si>
  <si>
    <t xml:space="preserve">PS   11  </t>
  </si>
  <si>
    <t xml:space="preserve">PS   21         </t>
  </si>
  <si>
    <t xml:space="preserve">PS   31        </t>
  </si>
  <si>
    <t>nagrody Prezydenta</t>
  </si>
  <si>
    <t>środki nierozdysp.Biuro Rady</t>
  </si>
  <si>
    <t>§ 251</t>
  </si>
  <si>
    <t>Razem:</t>
  </si>
  <si>
    <t>Załącznik nr 3</t>
  </si>
  <si>
    <t>Załącznik nr 6</t>
  </si>
  <si>
    <t>Plany finansowe szkół ponadpodstawowych i pozostałych jednostek oświatowych na  2007 rok</t>
  </si>
  <si>
    <t>Placówka</t>
  </si>
  <si>
    <t>§ 4211</t>
  </si>
  <si>
    <t>§ 4247</t>
  </si>
  <si>
    <t>§ 4400</t>
  </si>
  <si>
    <t>§ 4407</t>
  </si>
  <si>
    <t>§ 4751</t>
  </si>
  <si>
    <t>DZIAŁ 801</t>
  </si>
  <si>
    <t>Zespół Szkół Ogólnokszt. Nr 6</t>
  </si>
  <si>
    <t>Zespół Szkół Specjalnych Nr 17</t>
  </si>
  <si>
    <t>Ośrodek Szkolno-Wych Nr 1</t>
  </si>
  <si>
    <t>Szkoły Podstaw.Specj.                     80102</t>
  </si>
  <si>
    <t>Ośrodek Szkolno-Wych Nr 2</t>
  </si>
  <si>
    <t>Licea Ogólnokształcące Specjalne   80121</t>
  </si>
  <si>
    <t>Gimnazja Specjalne                         80111</t>
  </si>
  <si>
    <t>I LO</t>
  </si>
  <si>
    <t>II LO</t>
  </si>
  <si>
    <t>III LO</t>
  </si>
  <si>
    <t>IV LO</t>
  </si>
  <si>
    <t>V LO</t>
  </si>
  <si>
    <t>VI LO</t>
  </si>
  <si>
    <t>VII LO</t>
  </si>
  <si>
    <t>VIII LO</t>
  </si>
  <si>
    <t>IX LO</t>
  </si>
  <si>
    <t>X LO</t>
  </si>
  <si>
    <t>XII LO</t>
  </si>
  <si>
    <t>XIII LO</t>
  </si>
  <si>
    <t>XIV</t>
  </si>
  <si>
    <t>Kolegium Miejskie</t>
  </si>
  <si>
    <t>nierozdysponowane środki na podwyższenie dodatków funkcyjych</t>
  </si>
  <si>
    <t>szkoły niepubliczne</t>
  </si>
  <si>
    <t xml:space="preserve"> Wydatki Wydziału Inwestycji</t>
  </si>
  <si>
    <t>dotacje dla szkół niepublicznych</t>
  </si>
  <si>
    <t>Licea Ogólnokształcące                  80120</t>
  </si>
  <si>
    <t>Zespół Szkół Administracyjno-Ekonomicznych</t>
  </si>
  <si>
    <t>Zespół Szkół Chłodniczych i Elektronicznych</t>
  </si>
  <si>
    <t>Zespół Szkół Hotelarsko-Gastronomicznych</t>
  </si>
  <si>
    <t>Zespół Szkół Mechanicznych</t>
  </si>
  <si>
    <t>Zespół Szkół Usługowych</t>
  </si>
  <si>
    <t>Zespół Szkół Budownictwa Okrętowego</t>
  </si>
  <si>
    <t>Zespół Szkół Zawodowych Nr 1</t>
  </si>
  <si>
    <t>Licea profilowane                            80123</t>
  </si>
  <si>
    <t>Zespół Szkół Budowlanych</t>
  </si>
  <si>
    <t>Zespół Szkół Zawodowych Nr 2</t>
  </si>
  <si>
    <t>Technikum Transportowe</t>
  </si>
  <si>
    <t>Szkoły Zawodowe                             80130</t>
  </si>
  <si>
    <t>Szkoła Muzyczna                             80132</t>
  </si>
  <si>
    <t xml:space="preserve">Specjalny Ośrodek Szkolno-Wych 1 </t>
  </si>
  <si>
    <t>Specjalny Ośrodek Szkolno-Wych 2</t>
  </si>
  <si>
    <t>Szkoły Zawodowe Specjalne    80134</t>
  </si>
  <si>
    <t>Zespół Szkół Budownictwa Okrętowego  80140</t>
  </si>
  <si>
    <t>Gdyński Ośrodek Dokształcania Nauczycieli           80141</t>
  </si>
  <si>
    <t>XIV LO</t>
  </si>
  <si>
    <t xml:space="preserve"> Pozostała działalność   80195</t>
  </si>
  <si>
    <t>DZIAŁ 854</t>
  </si>
  <si>
    <t>Spec.Ośrodek Szk-Wych Nr 1</t>
  </si>
  <si>
    <t>Spec.Ośrodek Szk-Wych Nr 2</t>
  </si>
  <si>
    <t>Ośrodki Szkolno-Wychowawcze    85403</t>
  </si>
  <si>
    <t>Poradnia Psych-Pedagog Nr 1</t>
  </si>
  <si>
    <t>Poradnia Psych-Pedagog Nr 2</t>
  </si>
  <si>
    <t>Poradnia Psych-Pedagog Nr 3</t>
  </si>
  <si>
    <t>Poradnie Psychologiczno-Pedagogiczne       85406</t>
  </si>
  <si>
    <t>Młodzieżowy Dom Kultury             85407</t>
  </si>
  <si>
    <t>Internaty i bursy szkolne                 85410</t>
  </si>
  <si>
    <t>Szkolne Schronisko Młodzieżowe 85417</t>
  </si>
  <si>
    <t>Młodzieżowy Dom Kultury            92601</t>
  </si>
  <si>
    <t xml:space="preserve">Zespół Szkół Specjalnych Nr 17 </t>
  </si>
  <si>
    <t>Specjalny Ośrodek Szkolno-Wychowawczy Nr 1</t>
  </si>
  <si>
    <t>Specjalny Ośrodek Szkolno-Wychowawczy Nr 2</t>
  </si>
  <si>
    <t>§ 083</t>
  </si>
  <si>
    <t>§ 092-097</t>
  </si>
  <si>
    <t xml:space="preserve">   PLAN FINANSOWY PRZEDSZKOLI SAMORZĄDOWYCH (zakłady budżetowe) NA 2007 rok                    ROZDZIAŁ  80104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</si>
</sst>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000"/>
    <numFmt numFmtId="173" formatCode="0.00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0"/>
    </font>
    <font>
      <b/>
      <sz val="10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i/>
      <sz val="8"/>
      <color indexed="10"/>
      <name val="Arial CE"/>
      <family val="2"/>
    </font>
    <font>
      <sz val="12"/>
      <name val="Arial CE"/>
      <family val="0"/>
    </font>
    <font>
      <b/>
      <sz val="14"/>
      <name val="Arial CE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3" fontId="18" fillId="0" borderId="0" xfId="18" applyNumberFormat="1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0" fontId="21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15" fillId="0" borderId="0" xfId="18" applyNumberFormat="1" applyFont="1" applyFill="1" applyBorder="1" applyAlignment="1">
      <alignment wrapText="1"/>
      <protection/>
    </xf>
    <xf numFmtId="0" fontId="6" fillId="0" borderId="1" xfId="0" applyFont="1" applyFill="1" applyBorder="1" applyAlignment="1">
      <alignment/>
    </xf>
    <xf numFmtId="3" fontId="30" fillId="0" borderId="1" xfId="18" applyNumberFormat="1" applyFont="1" applyFill="1" applyBorder="1">
      <alignment/>
      <protection/>
    </xf>
    <xf numFmtId="0" fontId="6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8" fillId="0" borderId="0" xfId="18" applyFont="1" applyFill="1">
      <alignment/>
      <protection/>
    </xf>
    <xf numFmtId="3" fontId="24" fillId="0" borderId="0" xfId="18" applyNumberFormat="1" applyFont="1" applyFill="1">
      <alignment/>
      <protection/>
    </xf>
    <xf numFmtId="0" fontId="24" fillId="0" borderId="0" xfId="18" applyFont="1" applyFill="1">
      <alignment/>
      <protection/>
    </xf>
    <xf numFmtId="3" fontId="24" fillId="0" borderId="0" xfId="18" applyNumberFormat="1" applyFont="1" applyFill="1">
      <alignment/>
      <protection/>
    </xf>
    <xf numFmtId="0" fontId="25" fillId="0" borderId="0" xfId="18" applyFont="1" applyFill="1">
      <alignment/>
      <protection/>
    </xf>
    <xf numFmtId="0" fontId="14" fillId="0" borderId="0" xfId="18" applyFill="1">
      <alignment/>
      <protection/>
    </xf>
    <xf numFmtId="3" fontId="24" fillId="0" borderId="1" xfId="18" applyNumberFormat="1" applyFont="1" applyFill="1" applyBorder="1" applyAlignment="1">
      <alignment wrapText="1"/>
      <protection/>
    </xf>
    <xf numFmtId="0" fontId="24" fillId="0" borderId="1" xfId="18" applyFont="1" applyFill="1" applyBorder="1" applyAlignment="1">
      <alignment wrapText="1"/>
      <protection/>
    </xf>
    <xf numFmtId="3" fontId="9" fillId="0" borderId="1" xfId="18" applyNumberFormat="1" applyFont="1" applyFill="1" applyBorder="1" applyAlignment="1">
      <alignment wrapText="1"/>
      <protection/>
    </xf>
    <xf numFmtId="0" fontId="24" fillId="0" borderId="1" xfId="18" applyFont="1" applyFill="1" applyBorder="1" applyAlignment="1">
      <alignment horizontal="center" wrapText="1"/>
      <protection/>
    </xf>
    <xf numFmtId="0" fontId="1" fillId="0" borderId="0" xfId="18" applyFont="1" applyFill="1" applyBorder="1">
      <alignment/>
      <protection/>
    </xf>
    <xf numFmtId="0" fontId="14" fillId="0" borderId="0" xfId="18" applyFont="1" applyFill="1">
      <alignment/>
      <protection/>
    </xf>
    <xf numFmtId="2" fontId="25" fillId="0" borderId="1" xfId="18" applyNumberFormat="1" applyFont="1" applyFill="1" applyBorder="1" applyAlignment="1">
      <alignment wrapText="1"/>
      <protection/>
    </xf>
    <xf numFmtId="3" fontId="25" fillId="0" borderId="1" xfId="18" applyNumberFormat="1" applyFont="1" applyFill="1" applyBorder="1" applyAlignment="1">
      <alignment wrapText="1"/>
      <protection/>
    </xf>
    <xf numFmtId="1" fontId="25" fillId="0" borderId="1" xfId="18" applyNumberFormat="1" applyFont="1" applyFill="1" applyBorder="1" applyAlignment="1">
      <alignment wrapText="1"/>
      <protection/>
    </xf>
    <xf numFmtId="3" fontId="24" fillId="0" borderId="1" xfId="18" applyNumberFormat="1" applyFont="1" applyFill="1" applyBorder="1">
      <alignment/>
      <protection/>
    </xf>
    <xf numFmtId="3" fontId="25" fillId="0" borderId="1" xfId="18" applyNumberFormat="1" applyFont="1" applyFill="1" applyBorder="1">
      <alignment/>
      <protection/>
    </xf>
    <xf numFmtId="3" fontId="7" fillId="0" borderId="0" xfId="18" applyNumberFormat="1" applyFont="1" applyFill="1" applyBorder="1">
      <alignment/>
      <protection/>
    </xf>
    <xf numFmtId="3" fontId="25" fillId="0" borderId="2" xfId="18" applyNumberFormat="1" applyFont="1" applyFill="1" applyBorder="1">
      <alignment/>
      <protection/>
    </xf>
    <xf numFmtId="3" fontId="25" fillId="0" borderId="3" xfId="18" applyNumberFormat="1" applyFont="1" applyFill="1" applyBorder="1">
      <alignment/>
      <protection/>
    </xf>
    <xf numFmtId="3" fontId="25" fillId="0" borderId="4" xfId="18" applyNumberFormat="1" applyFont="1" applyFill="1" applyBorder="1">
      <alignment/>
      <protection/>
    </xf>
    <xf numFmtId="3" fontId="25" fillId="0" borderId="5" xfId="18" applyNumberFormat="1" applyFont="1" applyFill="1" applyBorder="1">
      <alignment/>
      <protection/>
    </xf>
    <xf numFmtId="2" fontId="24" fillId="0" borderId="1" xfId="18" applyNumberFormat="1" applyFont="1" applyFill="1" applyBorder="1" applyAlignment="1">
      <alignment wrapText="1"/>
      <protection/>
    </xf>
    <xf numFmtId="1" fontId="24" fillId="0" borderId="1" xfId="18" applyNumberFormat="1" applyFont="1" applyFill="1" applyBorder="1" applyAlignment="1">
      <alignment wrapText="1"/>
      <protection/>
    </xf>
    <xf numFmtId="3" fontId="9" fillId="0" borderId="0" xfId="18" applyNumberFormat="1" applyFont="1" applyFill="1" applyBorder="1">
      <alignment/>
      <protection/>
    </xf>
    <xf numFmtId="2" fontId="6" fillId="0" borderId="1" xfId="18" applyNumberFormat="1" applyFont="1" applyFill="1" applyBorder="1" applyAlignment="1">
      <alignment wrapText="1"/>
      <protection/>
    </xf>
    <xf numFmtId="3" fontId="13" fillId="0" borderId="1" xfId="18" applyNumberFormat="1" applyFont="1" applyFill="1" applyBorder="1" applyAlignment="1">
      <alignment wrapText="1"/>
      <protection/>
    </xf>
    <xf numFmtId="1" fontId="5" fillId="0" borderId="1" xfId="18" applyNumberFormat="1" applyFont="1" applyFill="1" applyBorder="1" applyAlignment="1">
      <alignment wrapText="1"/>
      <protection/>
    </xf>
    <xf numFmtId="3" fontId="15" fillId="0" borderId="1" xfId="18" applyNumberFormat="1" applyFont="1" applyFill="1" applyBorder="1">
      <alignment/>
      <protection/>
    </xf>
    <xf numFmtId="3" fontId="16" fillId="0" borderId="1" xfId="18" applyNumberFormat="1" applyFont="1" applyFill="1" applyBorder="1">
      <alignment/>
      <protection/>
    </xf>
    <xf numFmtId="0" fontId="14" fillId="0" borderId="0" xfId="18" applyFill="1" applyBorder="1">
      <alignment/>
      <protection/>
    </xf>
    <xf numFmtId="2" fontId="1" fillId="0" borderId="1" xfId="18" applyNumberFormat="1" applyFont="1" applyFill="1" applyBorder="1" applyAlignment="1">
      <alignment wrapText="1"/>
      <protection/>
    </xf>
    <xf numFmtId="2" fontId="6" fillId="0" borderId="0" xfId="18" applyNumberFormat="1" applyFont="1" applyFill="1" applyBorder="1" applyAlignment="1">
      <alignment wrapText="1"/>
      <protection/>
    </xf>
    <xf numFmtId="3" fontId="13" fillId="0" borderId="0" xfId="18" applyNumberFormat="1" applyFont="1" applyFill="1" applyBorder="1" applyAlignment="1">
      <alignment wrapText="1"/>
      <protection/>
    </xf>
    <xf numFmtId="1" fontId="5" fillId="0" borderId="0" xfId="18" applyNumberFormat="1" applyFont="1" applyFill="1" applyBorder="1" applyAlignment="1">
      <alignment wrapText="1"/>
      <protection/>
    </xf>
    <xf numFmtId="3" fontId="19" fillId="0" borderId="0" xfId="18" applyNumberFormat="1" applyFont="1" applyFill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16" fillId="0" borderId="0" xfId="18" applyNumberFormat="1" applyFont="1" applyFill="1" applyBorder="1">
      <alignment/>
      <protection/>
    </xf>
    <xf numFmtId="2" fontId="9" fillId="0" borderId="0" xfId="18" applyNumberFormat="1" applyFont="1" applyFill="1" applyBorder="1" applyAlignment="1">
      <alignment wrapText="1"/>
      <protection/>
    </xf>
    <xf numFmtId="3" fontId="16" fillId="0" borderId="0" xfId="18" applyNumberFormat="1" applyFont="1" applyFill="1" applyBorder="1">
      <alignment/>
      <protection/>
    </xf>
    <xf numFmtId="1" fontId="7" fillId="0" borderId="0" xfId="18" applyNumberFormat="1" applyFont="1" applyFill="1" applyBorder="1" applyAlignment="1">
      <alignment wrapText="1"/>
      <protection/>
    </xf>
    <xf numFmtId="3" fontId="12" fillId="0" borderId="0" xfId="18" applyNumberFormat="1" applyFont="1" applyFill="1" applyBorder="1" applyAlignment="1">
      <alignment wrapText="1"/>
      <protection/>
    </xf>
    <xf numFmtId="3" fontId="19" fillId="0" borderId="0" xfId="18" applyNumberFormat="1" applyFont="1" applyFill="1" applyBorder="1">
      <alignment/>
      <protection/>
    </xf>
    <xf numFmtId="2" fontId="6" fillId="0" borderId="0" xfId="18" applyNumberFormat="1" applyFont="1" applyFill="1" applyBorder="1" applyAlignment="1">
      <alignment wrapText="1"/>
      <protection/>
    </xf>
    <xf numFmtId="3" fontId="7" fillId="0" borderId="0" xfId="18" applyNumberFormat="1" applyFont="1" applyFill="1" applyBorder="1" applyAlignment="1">
      <alignment wrapText="1"/>
      <protection/>
    </xf>
    <xf numFmtId="2" fontId="29" fillId="0" borderId="0" xfId="18" applyNumberFormat="1" applyFont="1" applyFill="1" applyBorder="1" applyAlignment="1">
      <alignment wrapText="1"/>
      <protection/>
    </xf>
    <xf numFmtId="3" fontId="17" fillId="0" borderId="0" xfId="18" applyNumberFormat="1" applyFont="1" applyFill="1" applyBorder="1">
      <alignment/>
      <protection/>
    </xf>
    <xf numFmtId="2" fontId="9" fillId="0" borderId="0" xfId="18" applyNumberFormat="1" applyFont="1" applyFill="1" applyBorder="1" applyAlignment="1">
      <alignment wrapText="1"/>
      <protection/>
    </xf>
    <xf numFmtId="3" fontId="20" fillId="0" borderId="0" xfId="18" applyNumberFormat="1" applyFont="1" applyFill="1" applyBorder="1">
      <alignment/>
      <protection/>
    </xf>
    <xf numFmtId="2" fontId="1" fillId="0" borderId="0" xfId="18" applyNumberFormat="1" applyFont="1" applyFill="1" applyBorder="1" applyAlignment="1">
      <alignment wrapText="1"/>
      <protection/>
    </xf>
    <xf numFmtId="1" fontId="12" fillId="0" borderId="0" xfId="18" applyNumberFormat="1" applyFont="1" applyFill="1" applyBorder="1" applyAlignment="1">
      <alignment wrapText="1"/>
      <protection/>
    </xf>
    <xf numFmtId="0" fontId="14" fillId="0" borderId="0" xfId="18" applyFont="1" applyFill="1" applyBorder="1">
      <alignment/>
      <protection/>
    </xf>
    <xf numFmtId="3" fontId="23" fillId="0" borderId="0" xfId="18" applyNumberFormat="1" applyFont="1" applyFill="1" applyBorder="1">
      <alignment/>
      <protection/>
    </xf>
    <xf numFmtId="0" fontId="6" fillId="0" borderId="0" xfId="18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23" fillId="0" borderId="0" xfId="18" applyNumberFormat="1" applyFont="1" applyFill="1">
      <alignment/>
      <protection/>
    </xf>
    <xf numFmtId="3" fontId="9" fillId="0" borderId="0" xfId="18" applyNumberFormat="1" applyFont="1" applyFill="1">
      <alignment/>
      <protection/>
    </xf>
    <xf numFmtId="0" fontId="6" fillId="0" borderId="0" xfId="18" applyFont="1" applyFill="1">
      <alignment/>
      <protection/>
    </xf>
    <xf numFmtId="3" fontId="5" fillId="0" borderId="0" xfId="18" applyNumberFormat="1" applyFont="1" applyFill="1">
      <alignment/>
      <protection/>
    </xf>
    <xf numFmtId="3" fontId="10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5" fillId="0" borderId="0" xfId="18" applyNumberFormat="1" applyFont="1" applyFill="1" applyBorder="1">
      <alignment/>
      <protection/>
    </xf>
    <xf numFmtId="3" fontId="5" fillId="0" borderId="0" xfId="18" applyNumberFormat="1" applyFont="1" applyFill="1" applyBorder="1" applyAlignment="1">
      <alignment horizontal="center"/>
      <protection/>
    </xf>
    <xf numFmtId="3" fontId="11" fillId="0" borderId="0" xfId="18" applyNumberFormat="1" applyFont="1" applyFill="1" applyBorder="1">
      <alignment/>
      <protection/>
    </xf>
    <xf numFmtId="3" fontId="12" fillId="0" borderId="0" xfId="18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4" fillId="0" borderId="0" xfId="18" applyFont="1" applyFill="1" applyAlignment="1">
      <alignment horizontal="right"/>
      <protection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9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3" fontId="3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8" fillId="0" borderId="1" xfId="0" applyNumberFormat="1" applyFont="1" applyBorder="1" applyAlignment="1">
      <alignment/>
    </xf>
    <xf numFmtId="3" fontId="16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wrapText="1"/>
    </xf>
    <xf numFmtId="3" fontId="18" fillId="0" borderId="1" xfId="0" applyNumberFormat="1" applyFont="1" applyFill="1" applyBorder="1" applyAlignment="1">
      <alignment wrapText="1"/>
    </xf>
    <xf numFmtId="3" fontId="1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3" fontId="7" fillId="0" borderId="2" xfId="0" applyNumberFormat="1" applyFont="1" applyBorder="1" applyAlignment="1">
      <alignment wrapText="1"/>
    </xf>
    <xf numFmtId="3" fontId="16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1" fontId="7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3" fontId="35" fillId="0" borderId="2" xfId="0" applyNumberFormat="1" applyFont="1" applyBorder="1" applyAlignment="1">
      <alignment wrapText="1"/>
    </xf>
    <xf numFmtId="3" fontId="20" fillId="0" borderId="2" xfId="0" applyNumberFormat="1" applyFont="1" applyBorder="1" applyAlignment="1">
      <alignment wrapText="1"/>
    </xf>
    <xf numFmtId="3" fontId="34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2" fontId="36" fillId="0" borderId="1" xfId="0" applyNumberFormat="1" applyFont="1" applyBorder="1" applyAlignment="1">
      <alignment wrapText="1"/>
    </xf>
    <xf numFmtId="3" fontId="36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19" fillId="0" borderId="1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gimnazja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3"/>
  <sheetViews>
    <sheetView workbookViewId="0" topLeftCell="A1">
      <pane xSplit="2" ySplit="4" topLeftCell="J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2" sqref="S2"/>
    </sheetView>
  </sheetViews>
  <sheetFormatPr defaultColWidth="9.00390625" defaultRowHeight="12.75"/>
  <cols>
    <col min="1" max="1" width="11.75390625" style="11" customWidth="1"/>
    <col min="2" max="2" width="6.625" style="11" customWidth="1"/>
    <col min="3" max="3" width="5.75390625" style="11" customWidth="1"/>
    <col min="4" max="4" width="7.125" style="11" customWidth="1"/>
    <col min="5" max="5" width="9.00390625" style="11" customWidth="1"/>
    <col min="6" max="6" width="6.625" style="11" customWidth="1"/>
    <col min="7" max="7" width="8.625" style="11" customWidth="1"/>
    <col min="8" max="8" width="8.00390625" style="11" customWidth="1"/>
    <col min="9" max="9" width="7.625" style="11" customWidth="1"/>
    <col min="10" max="10" width="8.125" style="11" customWidth="1"/>
    <col min="11" max="11" width="5.75390625" style="11" customWidth="1"/>
    <col min="12" max="12" width="5.875" style="11" customWidth="1"/>
    <col min="13" max="13" width="6.875" style="11" customWidth="1"/>
    <col min="14" max="14" width="6.00390625" style="11" customWidth="1"/>
    <col min="15" max="15" width="6.25390625" style="11" customWidth="1"/>
    <col min="16" max="16" width="7.625" style="11" customWidth="1"/>
    <col min="17" max="17" width="8.375" style="11" customWidth="1"/>
    <col min="18" max="18" width="5.75390625" style="11" customWidth="1"/>
    <col min="19" max="20" width="6.625" style="11" customWidth="1"/>
    <col min="21" max="21" width="5.375" style="11" customWidth="1"/>
    <col min="22" max="23" width="6.125" style="11" customWidth="1"/>
    <col min="24" max="24" width="7.00390625" style="11" customWidth="1"/>
    <col min="25" max="26" width="6.25390625" style="11" customWidth="1"/>
    <col min="27" max="27" width="6.375" style="11" customWidth="1"/>
    <col min="28" max="28" width="7.625" style="11" customWidth="1"/>
    <col min="29" max="30" width="6.125" style="11" customWidth="1"/>
    <col min="31" max="31" width="6.75390625" style="11" customWidth="1"/>
    <col min="32" max="32" width="5.75390625" style="11" customWidth="1"/>
    <col min="33" max="33" width="9.00390625" style="11" hidden="1" customWidth="1"/>
    <col min="34" max="34" width="11.625" style="11" hidden="1" customWidth="1"/>
    <col min="35" max="16384" width="9.125" style="11" customWidth="1"/>
  </cols>
  <sheetData>
    <row r="1" spans="1:33" ht="12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60" t="s">
        <v>136</v>
      </c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2:33" ht="16.5" customHeight="1">
      <c r="B2" s="57" t="s">
        <v>80</v>
      </c>
      <c r="C2" s="20"/>
      <c r="D2" s="20"/>
      <c r="E2" s="52"/>
      <c r="F2" s="20"/>
      <c r="G2" s="20"/>
      <c r="H2" s="58"/>
      <c r="I2" s="58"/>
      <c r="J2" s="58"/>
      <c r="K2" s="58"/>
      <c r="L2" s="58"/>
      <c r="M2" s="58"/>
      <c r="N2" s="58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59"/>
      <c r="AC2" s="59"/>
      <c r="AD2" s="59"/>
      <c r="AE2" s="59"/>
      <c r="AF2" s="59"/>
      <c r="AG2" s="20"/>
    </row>
    <row r="3" spans="1:33" ht="14.25" customHeight="1">
      <c r="A3" s="57"/>
      <c r="B3" s="20"/>
      <c r="C3" s="20"/>
      <c r="D3" s="20"/>
      <c r="E3" s="52"/>
      <c r="F3" s="20"/>
      <c r="G3" s="20"/>
      <c r="H3" s="58"/>
      <c r="I3" s="58"/>
      <c r="J3" s="58"/>
      <c r="K3" s="58"/>
      <c r="L3" s="58"/>
      <c r="M3" s="58"/>
      <c r="N3" s="5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59"/>
      <c r="AC3" s="59"/>
      <c r="AD3" s="59"/>
      <c r="AE3" s="59"/>
      <c r="AF3" s="59"/>
      <c r="AG3" s="20"/>
    </row>
    <row r="4" spans="1:34" s="63" customFormat="1" ht="25.5" customHeight="1">
      <c r="A4" s="60" t="s">
        <v>113</v>
      </c>
      <c r="B4" s="24" t="s">
        <v>114</v>
      </c>
      <c r="C4" s="61" t="s">
        <v>53</v>
      </c>
      <c r="D4" s="24" t="s">
        <v>15</v>
      </c>
      <c r="E4" s="56" t="s">
        <v>1</v>
      </c>
      <c r="F4" s="49" t="s">
        <v>6</v>
      </c>
      <c r="G4" s="49" t="s">
        <v>2</v>
      </c>
      <c r="H4" s="62" t="s">
        <v>3</v>
      </c>
      <c r="I4" s="62" t="s">
        <v>4</v>
      </c>
      <c r="J4" s="62" t="s">
        <v>5</v>
      </c>
      <c r="K4" s="49" t="s">
        <v>26</v>
      </c>
      <c r="L4" s="49" t="s">
        <v>59</v>
      </c>
      <c r="M4" s="49" t="s">
        <v>8</v>
      </c>
      <c r="N4" s="49" t="s">
        <v>129</v>
      </c>
      <c r="O4" s="49" t="s">
        <v>19</v>
      </c>
      <c r="P4" s="49" t="s">
        <v>9</v>
      </c>
      <c r="Q4" s="49" t="s">
        <v>10</v>
      </c>
      <c r="R4" s="49" t="s">
        <v>12</v>
      </c>
      <c r="S4" s="49" t="s">
        <v>11</v>
      </c>
      <c r="T4" s="49" t="s">
        <v>130</v>
      </c>
      <c r="U4" s="49" t="s">
        <v>58</v>
      </c>
      <c r="V4" s="49" t="s">
        <v>123</v>
      </c>
      <c r="W4" s="49" t="s">
        <v>124</v>
      </c>
      <c r="X4" s="49" t="s">
        <v>126</v>
      </c>
      <c r="Y4" s="49" t="s">
        <v>20</v>
      </c>
      <c r="Z4" s="49" t="s">
        <v>131</v>
      </c>
      <c r="AA4" s="49" t="s">
        <v>27</v>
      </c>
      <c r="AB4" s="49" t="s">
        <v>7</v>
      </c>
      <c r="AC4" s="49" t="s">
        <v>125</v>
      </c>
      <c r="AD4" s="49" t="s">
        <v>127</v>
      </c>
      <c r="AE4" s="49" t="s">
        <v>74</v>
      </c>
      <c r="AF4" s="49" t="s">
        <v>75</v>
      </c>
      <c r="AG4" s="56" t="s">
        <v>54</v>
      </c>
      <c r="AH4" s="44" t="s">
        <v>79</v>
      </c>
    </row>
    <row r="5" spans="1:34" ht="11.25">
      <c r="A5" s="64" t="s">
        <v>83</v>
      </c>
      <c r="B5" s="65">
        <v>2</v>
      </c>
      <c r="C5" s="35">
        <v>40</v>
      </c>
      <c r="D5" s="25">
        <f aca="true" t="shared" si="0" ref="D5:D36">E5/C5/12</f>
        <v>768</v>
      </c>
      <c r="E5" s="25">
        <f>SUM(F5:AF5)</f>
        <v>368436</v>
      </c>
      <c r="F5" s="25"/>
      <c r="G5" s="66">
        <v>197470</v>
      </c>
      <c r="H5" s="25">
        <v>21408</v>
      </c>
      <c r="I5" s="25">
        <v>38996</v>
      </c>
      <c r="J5" s="25">
        <v>5413</v>
      </c>
      <c r="K5" s="25"/>
      <c r="L5" s="25"/>
      <c r="M5" s="25">
        <v>2500</v>
      </c>
      <c r="N5" s="25"/>
      <c r="O5" s="25"/>
      <c r="P5" s="25">
        <v>18376</v>
      </c>
      <c r="Q5" s="25">
        <v>70000</v>
      </c>
      <c r="R5" s="25"/>
      <c r="S5" s="35">
        <v>2300</v>
      </c>
      <c r="T5" s="35"/>
      <c r="U5" s="35"/>
      <c r="V5" s="35"/>
      <c r="W5" s="35"/>
      <c r="X5" s="35"/>
      <c r="Y5" s="35"/>
      <c r="Z5" s="35"/>
      <c r="AA5" s="25"/>
      <c r="AB5" s="25">
        <v>11973</v>
      </c>
      <c r="AC5" s="25"/>
      <c r="AD5" s="25"/>
      <c r="AE5" s="25"/>
      <c r="AF5" s="25"/>
      <c r="AG5" s="25">
        <f>F5+K5+L5+M5+O5+Q5+R5+S5+U5+Y5+AA5+V5+W5+AC5+X5+AD5</f>
        <v>74800</v>
      </c>
      <c r="AH5" s="25"/>
    </row>
    <row r="6" spans="1:34" ht="11.25">
      <c r="A6" s="64" t="s">
        <v>84</v>
      </c>
      <c r="B6" s="65">
        <v>6</v>
      </c>
      <c r="C6" s="35">
        <v>679</v>
      </c>
      <c r="D6" s="25">
        <f t="shared" si="0"/>
        <v>331</v>
      </c>
      <c r="E6" s="25">
        <f aca="true" t="shared" si="1" ref="E6:E35">SUM(F6:AF6)</f>
        <v>2696931</v>
      </c>
      <c r="F6" s="25">
        <v>3000</v>
      </c>
      <c r="G6" s="66">
        <v>1743124</v>
      </c>
      <c r="H6" s="25">
        <v>144418</v>
      </c>
      <c r="I6" s="25">
        <v>340268</v>
      </c>
      <c r="J6" s="25">
        <v>47233</v>
      </c>
      <c r="K6" s="25"/>
      <c r="L6" s="25"/>
      <c r="M6" s="25">
        <f>18636+6000</f>
        <v>24636</v>
      </c>
      <c r="N6" s="25"/>
      <c r="O6" s="25">
        <v>2000</v>
      </c>
      <c r="P6" s="25">
        <v>201093</v>
      </c>
      <c r="Q6" s="25">
        <f>1100+50000</f>
        <v>51100</v>
      </c>
      <c r="R6" s="25">
        <v>4800</v>
      </c>
      <c r="S6" s="25">
        <v>10000</v>
      </c>
      <c r="T6" s="25"/>
      <c r="U6" s="25">
        <v>900</v>
      </c>
      <c r="V6" s="25">
        <v>8400</v>
      </c>
      <c r="W6" s="25">
        <v>1200</v>
      </c>
      <c r="X6" s="25"/>
      <c r="Y6" s="25">
        <v>1000</v>
      </c>
      <c r="Z6" s="25"/>
      <c r="AA6" s="25"/>
      <c r="AB6" s="25">
        <v>112759</v>
      </c>
      <c r="AC6" s="25">
        <v>500</v>
      </c>
      <c r="AD6" s="25">
        <v>500</v>
      </c>
      <c r="AE6" s="25"/>
      <c r="AF6" s="25"/>
      <c r="AG6" s="25">
        <f aca="true" t="shared" si="2" ref="AG6:AG35">F6+K6+L6+M6+O6+Q6+R6+S6+U6+Y6+AA6+V6+W6+AC6+X6+AD6</f>
        <v>108036</v>
      </c>
      <c r="AH6" s="25"/>
    </row>
    <row r="7" spans="1:34" ht="11.25">
      <c r="A7" s="64" t="s">
        <v>85</v>
      </c>
      <c r="B7" s="65">
        <v>8</v>
      </c>
      <c r="C7" s="35">
        <v>252</v>
      </c>
      <c r="D7" s="25">
        <f t="shared" si="0"/>
        <v>408</v>
      </c>
      <c r="E7" s="25">
        <f t="shared" si="1"/>
        <v>1233463</v>
      </c>
      <c r="F7" s="25">
        <v>800</v>
      </c>
      <c r="G7" s="66">
        <v>821681</v>
      </c>
      <c r="H7" s="25">
        <v>70600</v>
      </c>
      <c r="I7" s="25">
        <v>159210</v>
      </c>
      <c r="J7" s="25">
        <v>22100</v>
      </c>
      <c r="K7" s="25"/>
      <c r="L7" s="25"/>
      <c r="M7" s="25">
        <v>8000</v>
      </c>
      <c r="N7" s="25"/>
      <c r="O7" s="25">
        <v>1500</v>
      </c>
      <c r="P7" s="25">
        <v>84250</v>
      </c>
      <c r="Q7" s="25"/>
      <c r="R7" s="25">
        <v>1500</v>
      </c>
      <c r="S7" s="25">
        <v>5196</v>
      </c>
      <c r="T7" s="25"/>
      <c r="U7" s="25">
        <v>800</v>
      </c>
      <c r="V7" s="25"/>
      <c r="W7" s="25">
        <v>2000</v>
      </c>
      <c r="X7" s="25"/>
      <c r="Y7" s="25">
        <v>800</v>
      </c>
      <c r="Z7" s="25"/>
      <c r="AA7" s="25"/>
      <c r="AB7" s="25">
        <v>53026</v>
      </c>
      <c r="AC7" s="25">
        <v>2000</v>
      </c>
      <c r="AD7" s="25"/>
      <c r="AE7" s="25"/>
      <c r="AF7" s="25"/>
      <c r="AG7" s="25">
        <f t="shared" si="2"/>
        <v>22596</v>
      </c>
      <c r="AH7" s="25">
        <v>27000</v>
      </c>
    </row>
    <row r="8" spans="1:34" ht="11.25">
      <c r="A8" s="64" t="s">
        <v>86</v>
      </c>
      <c r="B8" s="65">
        <v>10</v>
      </c>
      <c r="C8" s="35">
        <v>647</v>
      </c>
      <c r="D8" s="25">
        <f t="shared" si="0"/>
        <v>415</v>
      </c>
      <c r="E8" s="25">
        <f>SUM(F8:AF8)</f>
        <v>3225043</v>
      </c>
      <c r="F8" s="25">
        <v>6000</v>
      </c>
      <c r="G8" s="66">
        <v>2085993</v>
      </c>
      <c r="H8" s="25">
        <v>178965</v>
      </c>
      <c r="I8" s="25">
        <v>408185</v>
      </c>
      <c r="J8" s="25">
        <v>56660</v>
      </c>
      <c r="K8" s="25"/>
      <c r="L8" s="25"/>
      <c r="M8" s="25">
        <f>9208+2000</f>
        <v>11208</v>
      </c>
      <c r="N8" s="25"/>
      <c r="O8" s="25">
        <f>600+1500</f>
        <v>2100</v>
      </c>
      <c r="P8" s="25">
        <v>171064</v>
      </c>
      <c r="Q8" s="25">
        <v>100000</v>
      </c>
      <c r="R8" s="25">
        <v>2100</v>
      </c>
      <c r="S8" s="25">
        <f>24500+7000</f>
        <v>31500</v>
      </c>
      <c r="T8" s="25"/>
      <c r="U8" s="25">
        <v>2832</v>
      </c>
      <c r="V8" s="25">
        <v>1800</v>
      </c>
      <c r="W8" s="25">
        <v>1800</v>
      </c>
      <c r="X8" s="25"/>
      <c r="Y8" s="25">
        <v>1000</v>
      </c>
      <c r="Z8" s="25"/>
      <c r="AA8" s="25">
        <v>1500</v>
      </c>
      <c r="AB8" s="25">
        <v>132336</v>
      </c>
      <c r="AC8" s="25"/>
      <c r="AD8" s="25"/>
      <c r="AE8" s="25">
        <v>30000</v>
      </c>
      <c r="AF8" s="25"/>
      <c r="AG8" s="25">
        <f t="shared" si="2"/>
        <v>161840</v>
      </c>
      <c r="AH8" s="25">
        <v>4600</v>
      </c>
    </row>
    <row r="9" spans="1:34" ht="11.25">
      <c r="A9" s="64" t="s">
        <v>87</v>
      </c>
      <c r="B9" s="65">
        <v>11</v>
      </c>
      <c r="C9" s="35">
        <v>220</v>
      </c>
      <c r="D9" s="25">
        <f t="shared" si="0"/>
        <v>427</v>
      </c>
      <c r="E9" s="25">
        <f t="shared" si="1"/>
        <v>1127282</v>
      </c>
      <c r="F9" s="25">
        <v>1700</v>
      </c>
      <c r="G9" s="66">
        <v>692905</v>
      </c>
      <c r="H9" s="25">
        <v>55480</v>
      </c>
      <c r="I9" s="25">
        <v>134104</v>
      </c>
      <c r="J9" s="25">
        <v>18615</v>
      </c>
      <c r="K9" s="25"/>
      <c r="L9" s="25"/>
      <c r="M9" s="25">
        <v>13200</v>
      </c>
      <c r="N9" s="25"/>
      <c r="O9" s="25">
        <v>3000</v>
      </c>
      <c r="P9" s="25">
        <v>91690</v>
      </c>
      <c r="Q9" s="25">
        <v>60000</v>
      </c>
      <c r="R9" s="25">
        <v>600</v>
      </c>
      <c r="S9" s="25">
        <v>7162</v>
      </c>
      <c r="T9" s="25"/>
      <c r="U9" s="25">
        <v>708</v>
      </c>
      <c r="V9" s="25"/>
      <c r="W9" s="25">
        <v>3750</v>
      </c>
      <c r="X9" s="25"/>
      <c r="Y9" s="35"/>
      <c r="Z9" s="35"/>
      <c r="AA9" s="25">
        <v>2000</v>
      </c>
      <c r="AB9" s="25">
        <v>42368</v>
      </c>
      <c r="AC9" s="25"/>
      <c r="AD9" s="25"/>
      <c r="AE9" s="25"/>
      <c r="AF9" s="25"/>
      <c r="AG9" s="25">
        <f t="shared" si="2"/>
        <v>92120</v>
      </c>
      <c r="AH9" s="25">
        <v>2080</v>
      </c>
    </row>
    <row r="10" spans="1:34" ht="11.25">
      <c r="A10" s="64" t="s">
        <v>88</v>
      </c>
      <c r="B10" s="65">
        <v>12</v>
      </c>
      <c r="C10" s="35">
        <v>544</v>
      </c>
      <c r="D10" s="25">
        <f t="shared" si="0"/>
        <v>308</v>
      </c>
      <c r="E10" s="25">
        <f t="shared" si="1"/>
        <v>2011257</v>
      </c>
      <c r="F10" s="25">
        <v>1000</v>
      </c>
      <c r="G10" s="66">
        <v>1284444</v>
      </c>
      <c r="H10" s="25">
        <v>101836</v>
      </c>
      <c r="I10" s="25">
        <f>247466+300</f>
        <v>247766</v>
      </c>
      <c r="J10" s="25">
        <f>34351+43</f>
        <v>34394</v>
      </c>
      <c r="K10" s="25">
        <v>8400</v>
      </c>
      <c r="L10" s="25">
        <v>1657</v>
      </c>
      <c r="M10" s="25">
        <v>13210</v>
      </c>
      <c r="N10" s="25"/>
      <c r="O10" s="25">
        <v>1000</v>
      </c>
      <c r="P10" s="25">
        <v>150469</v>
      </c>
      <c r="Q10" s="25">
        <f>3000+60000+3794</f>
        <v>66794</v>
      </c>
      <c r="R10" s="25">
        <v>2000</v>
      </c>
      <c r="S10" s="25">
        <v>13000</v>
      </c>
      <c r="T10" s="25"/>
      <c r="U10" s="25">
        <v>708</v>
      </c>
      <c r="V10" s="25"/>
      <c r="W10" s="25"/>
      <c r="X10" s="25"/>
      <c r="Y10" s="35">
        <v>150</v>
      </c>
      <c r="Z10" s="35"/>
      <c r="AA10" s="25">
        <v>900</v>
      </c>
      <c r="AB10" s="25">
        <v>83529</v>
      </c>
      <c r="AC10" s="25"/>
      <c r="AD10" s="25"/>
      <c r="AE10" s="25"/>
      <c r="AF10" s="25"/>
      <c r="AG10" s="25">
        <f t="shared" si="2"/>
        <v>108819</v>
      </c>
      <c r="AH10" s="25"/>
    </row>
    <row r="11" spans="1:34" ht="11.25">
      <c r="A11" s="64" t="s">
        <v>89</v>
      </c>
      <c r="B11" s="65">
        <v>13</v>
      </c>
      <c r="C11" s="35">
        <v>267</v>
      </c>
      <c r="D11" s="25">
        <f t="shared" si="0"/>
        <v>489</v>
      </c>
      <c r="E11" s="25">
        <f t="shared" si="1"/>
        <v>1567903</v>
      </c>
      <c r="F11" s="25">
        <v>3989</v>
      </c>
      <c r="G11" s="66">
        <v>1019680</v>
      </c>
      <c r="H11" s="25">
        <v>85243</v>
      </c>
      <c r="I11" s="25">
        <v>198596</v>
      </c>
      <c r="J11" s="25">
        <v>27567</v>
      </c>
      <c r="K11" s="25"/>
      <c r="L11" s="25">
        <v>500</v>
      </c>
      <c r="M11" s="25">
        <v>2525</v>
      </c>
      <c r="N11" s="25"/>
      <c r="O11" s="25"/>
      <c r="P11" s="25">
        <v>118215</v>
      </c>
      <c r="Q11" s="25">
        <f>4000+30000</f>
        <v>34000</v>
      </c>
      <c r="R11" s="25">
        <v>2200</v>
      </c>
      <c r="S11" s="25">
        <v>3000</v>
      </c>
      <c r="T11" s="25"/>
      <c r="U11" s="25">
        <v>710</v>
      </c>
      <c r="V11" s="25">
        <v>600</v>
      </c>
      <c r="W11" s="25">
        <v>3500</v>
      </c>
      <c r="X11" s="25"/>
      <c r="Y11" s="25">
        <v>800</v>
      </c>
      <c r="Z11" s="25"/>
      <c r="AA11" s="25">
        <v>1000</v>
      </c>
      <c r="AB11" s="25">
        <v>65778</v>
      </c>
      <c r="AC11" s="25"/>
      <c r="AD11" s="25"/>
      <c r="AE11" s="25"/>
      <c r="AF11" s="25"/>
      <c r="AG11" s="25">
        <f t="shared" si="2"/>
        <v>52824</v>
      </c>
      <c r="AH11" s="25"/>
    </row>
    <row r="12" spans="1:34" ht="11.25">
      <c r="A12" s="64" t="s">
        <v>90</v>
      </c>
      <c r="B12" s="65">
        <v>14</v>
      </c>
      <c r="C12" s="35">
        <v>183</v>
      </c>
      <c r="D12" s="25">
        <f t="shared" si="0"/>
        <v>450</v>
      </c>
      <c r="E12" s="25">
        <f t="shared" si="1"/>
        <v>987836</v>
      </c>
      <c r="F12" s="25">
        <v>2000</v>
      </c>
      <c r="G12" s="66">
        <v>588530</v>
      </c>
      <c r="H12" s="25">
        <v>48267</v>
      </c>
      <c r="I12" s="25">
        <v>114846</v>
      </c>
      <c r="J12" s="25">
        <v>15942</v>
      </c>
      <c r="K12" s="25">
        <v>7000</v>
      </c>
      <c r="L12" s="25">
        <v>1000</v>
      </c>
      <c r="M12" s="25">
        <v>2500</v>
      </c>
      <c r="N12" s="25"/>
      <c r="O12" s="25">
        <v>1500</v>
      </c>
      <c r="P12" s="25">
        <v>156148</v>
      </c>
      <c r="Q12" s="25">
        <v>2000</v>
      </c>
      <c r="R12" s="25">
        <v>1500</v>
      </c>
      <c r="S12" s="25">
        <v>3000</v>
      </c>
      <c r="T12" s="25"/>
      <c r="U12" s="25">
        <v>500</v>
      </c>
      <c r="V12" s="25"/>
      <c r="W12" s="25"/>
      <c r="X12" s="25"/>
      <c r="Y12" s="35">
        <v>744</v>
      </c>
      <c r="Z12" s="35"/>
      <c r="AA12" s="25">
        <v>1000</v>
      </c>
      <c r="AB12" s="25">
        <v>41359</v>
      </c>
      <c r="AC12" s="25"/>
      <c r="AD12" s="25"/>
      <c r="AE12" s="25"/>
      <c r="AF12" s="25"/>
      <c r="AG12" s="25">
        <f t="shared" si="2"/>
        <v>22744</v>
      </c>
      <c r="AH12" s="25"/>
    </row>
    <row r="13" spans="1:34" ht="11.25">
      <c r="A13" s="64" t="s">
        <v>91</v>
      </c>
      <c r="B13" s="65">
        <v>16</v>
      </c>
      <c r="C13" s="35">
        <v>393</v>
      </c>
      <c r="D13" s="25">
        <f t="shared" si="0"/>
        <v>407</v>
      </c>
      <c r="E13" s="25">
        <f t="shared" si="1"/>
        <v>1917752</v>
      </c>
      <c r="F13" s="25">
        <v>3750</v>
      </c>
      <c r="G13" s="66">
        <v>1237931</v>
      </c>
      <c r="H13" s="25">
        <v>101629</v>
      </c>
      <c r="I13" s="25">
        <v>239196</v>
      </c>
      <c r="J13" s="25">
        <v>33203</v>
      </c>
      <c r="K13" s="25"/>
      <c r="L13" s="25"/>
      <c r="M13" s="25">
        <v>8000</v>
      </c>
      <c r="N13" s="25"/>
      <c r="O13" s="25">
        <v>1500</v>
      </c>
      <c r="P13" s="25">
        <v>149210</v>
      </c>
      <c r="Q13" s="25">
        <f>3500+50000</f>
        <v>53500</v>
      </c>
      <c r="R13" s="25">
        <v>4000</v>
      </c>
      <c r="S13" s="25">
        <v>4138</v>
      </c>
      <c r="T13" s="25"/>
      <c r="U13" s="25">
        <v>1440</v>
      </c>
      <c r="V13" s="25"/>
      <c r="W13" s="25">
        <v>5000</v>
      </c>
      <c r="X13" s="25"/>
      <c r="Y13" s="35">
        <v>2000</v>
      </c>
      <c r="Z13" s="35"/>
      <c r="AA13" s="25">
        <v>800</v>
      </c>
      <c r="AB13" s="25">
        <v>72455</v>
      </c>
      <c r="AC13" s="25"/>
      <c r="AD13" s="25"/>
      <c r="AE13" s="25"/>
      <c r="AF13" s="25"/>
      <c r="AG13" s="25">
        <f t="shared" si="2"/>
        <v>84128</v>
      </c>
      <c r="AH13" s="25"/>
    </row>
    <row r="14" spans="1:34" ht="11.25">
      <c r="A14" s="64" t="s">
        <v>92</v>
      </c>
      <c r="B14" s="65">
        <v>17</v>
      </c>
      <c r="C14" s="35">
        <v>440</v>
      </c>
      <c r="D14" s="25">
        <f t="shared" si="0"/>
        <v>353</v>
      </c>
      <c r="E14" s="25">
        <f t="shared" si="1"/>
        <v>1862569</v>
      </c>
      <c r="F14" s="25">
        <v>2680</v>
      </c>
      <c r="G14" s="66">
        <v>1268108</v>
      </c>
      <c r="H14" s="25">
        <v>106300</v>
      </c>
      <c r="I14" s="25">
        <v>245615</v>
      </c>
      <c r="J14" s="25">
        <v>34094</v>
      </c>
      <c r="K14" s="25">
        <v>9500</v>
      </c>
      <c r="L14" s="25"/>
      <c r="M14" s="25">
        <f>4200+4000</f>
        <v>8200</v>
      </c>
      <c r="N14" s="25"/>
      <c r="O14" s="25">
        <v>3000</v>
      </c>
      <c r="P14" s="25">
        <v>91470</v>
      </c>
      <c r="Q14" s="25"/>
      <c r="R14" s="25">
        <v>1300</v>
      </c>
      <c r="S14" s="25">
        <v>4700</v>
      </c>
      <c r="T14" s="25"/>
      <c r="U14" s="25">
        <v>3000</v>
      </c>
      <c r="V14" s="25">
        <v>1000</v>
      </c>
      <c r="W14" s="25">
        <v>3550</v>
      </c>
      <c r="X14" s="25">
        <v>2000</v>
      </c>
      <c r="Y14" s="35">
        <v>250</v>
      </c>
      <c r="Z14" s="35"/>
      <c r="AA14" s="25"/>
      <c r="AB14" s="25">
        <v>74802</v>
      </c>
      <c r="AC14" s="25">
        <v>2000</v>
      </c>
      <c r="AD14" s="25">
        <v>1000</v>
      </c>
      <c r="AE14" s="25"/>
      <c r="AF14" s="25"/>
      <c r="AG14" s="25">
        <f t="shared" si="2"/>
        <v>42180</v>
      </c>
      <c r="AH14" s="25"/>
    </row>
    <row r="15" spans="1:34" ht="11.25">
      <c r="A15" s="64" t="s">
        <v>93</v>
      </c>
      <c r="B15" s="65">
        <v>18</v>
      </c>
      <c r="C15" s="35">
        <v>806</v>
      </c>
      <c r="D15" s="25">
        <f t="shared" si="0"/>
        <v>303</v>
      </c>
      <c r="E15" s="25">
        <f t="shared" si="1"/>
        <v>2926648</v>
      </c>
      <c r="F15" s="25">
        <v>1000</v>
      </c>
      <c r="G15" s="66">
        <v>1947695</v>
      </c>
      <c r="H15" s="25">
        <v>157670</v>
      </c>
      <c r="I15" s="25">
        <v>375641</v>
      </c>
      <c r="J15" s="25">
        <v>52143</v>
      </c>
      <c r="K15" s="25">
        <v>14000</v>
      </c>
      <c r="L15" s="25"/>
      <c r="M15" s="25">
        <v>18000</v>
      </c>
      <c r="N15" s="25">
        <v>3300</v>
      </c>
      <c r="O15" s="25">
        <v>2000</v>
      </c>
      <c r="P15" s="25">
        <v>112462</v>
      </c>
      <c r="Q15" s="25">
        <f>5000+80000</f>
        <v>85000</v>
      </c>
      <c r="R15" s="25">
        <v>2000</v>
      </c>
      <c r="S15" s="25">
        <v>12572</v>
      </c>
      <c r="T15" s="25">
        <v>1000</v>
      </c>
      <c r="U15" s="25">
        <v>1000</v>
      </c>
      <c r="V15" s="25"/>
      <c r="W15" s="25">
        <v>7000</v>
      </c>
      <c r="X15" s="25"/>
      <c r="Y15" s="25">
        <v>100</v>
      </c>
      <c r="Z15" s="25">
        <v>13124</v>
      </c>
      <c r="AA15" s="25">
        <v>2000</v>
      </c>
      <c r="AB15" s="25">
        <v>118941</v>
      </c>
      <c r="AC15" s="25"/>
      <c r="AD15" s="25"/>
      <c r="AE15" s="25"/>
      <c r="AF15" s="25"/>
      <c r="AG15" s="25">
        <f t="shared" si="2"/>
        <v>144672</v>
      </c>
      <c r="AH15" s="25"/>
    </row>
    <row r="16" spans="1:34" ht="11.25">
      <c r="A16" s="64" t="s">
        <v>94</v>
      </c>
      <c r="B16" s="65">
        <v>20</v>
      </c>
      <c r="C16" s="35">
        <v>472</v>
      </c>
      <c r="D16" s="25">
        <f t="shared" si="0"/>
        <v>317</v>
      </c>
      <c r="E16" s="25">
        <f t="shared" si="1"/>
        <v>1793290</v>
      </c>
      <c r="F16" s="25">
        <v>1300</v>
      </c>
      <c r="G16" s="66">
        <v>1169730</v>
      </c>
      <c r="H16" s="25">
        <v>95385</v>
      </c>
      <c r="I16" s="25">
        <v>227857</v>
      </c>
      <c r="J16" s="25">
        <v>31629</v>
      </c>
      <c r="K16" s="25">
        <v>9600</v>
      </c>
      <c r="L16" s="25"/>
      <c r="M16" s="25">
        <f>11648+5000</f>
        <v>16648</v>
      </c>
      <c r="N16" s="25"/>
      <c r="O16" s="25">
        <v>1000</v>
      </c>
      <c r="P16" s="25">
        <v>77140</v>
      </c>
      <c r="Q16" s="25">
        <f>8000+65000</f>
        <v>73000</v>
      </c>
      <c r="R16" s="25">
        <v>1000</v>
      </c>
      <c r="S16" s="35">
        <v>6400</v>
      </c>
      <c r="T16" s="35"/>
      <c r="U16" s="35">
        <v>1500</v>
      </c>
      <c r="V16" s="35">
        <v>500</v>
      </c>
      <c r="W16" s="35">
        <v>4000</v>
      </c>
      <c r="X16" s="35"/>
      <c r="Y16" s="35">
        <v>1000</v>
      </c>
      <c r="Z16" s="35"/>
      <c r="AA16" s="25"/>
      <c r="AB16" s="25">
        <v>75301</v>
      </c>
      <c r="AC16" s="25">
        <v>300</v>
      </c>
      <c r="AD16" s="25"/>
      <c r="AE16" s="25"/>
      <c r="AF16" s="25"/>
      <c r="AG16" s="25">
        <f t="shared" si="2"/>
        <v>116248</v>
      </c>
      <c r="AH16" s="25"/>
    </row>
    <row r="17" spans="1:34" ht="11.25">
      <c r="A17" s="64" t="s">
        <v>95</v>
      </c>
      <c r="B17" s="65">
        <v>21</v>
      </c>
      <c r="C17" s="35">
        <v>458</v>
      </c>
      <c r="D17" s="25">
        <f t="shared" si="0"/>
        <v>376</v>
      </c>
      <c r="E17" s="25">
        <f t="shared" si="1"/>
        <v>2068132</v>
      </c>
      <c r="F17" s="25">
        <v>3000</v>
      </c>
      <c r="G17" s="66">
        <v>1374646</v>
      </c>
      <c r="H17" s="25">
        <v>117000</v>
      </c>
      <c r="I17" s="25">
        <v>266146</v>
      </c>
      <c r="J17" s="25">
        <v>36944</v>
      </c>
      <c r="K17" s="25"/>
      <c r="L17" s="25"/>
      <c r="M17" s="25">
        <v>8000</v>
      </c>
      <c r="N17" s="25"/>
      <c r="O17" s="25">
        <v>1000</v>
      </c>
      <c r="P17" s="25">
        <v>156645</v>
      </c>
      <c r="Q17" s="25">
        <v>2000</v>
      </c>
      <c r="R17" s="25">
        <v>1500</v>
      </c>
      <c r="S17" s="25">
        <v>10000</v>
      </c>
      <c r="T17" s="25"/>
      <c r="U17" s="25">
        <v>2000</v>
      </c>
      <c r="V17" s="25"/>
      <c r="W17" s="25">
        <v>4000</v>
      </c>
      <c r="X17" s="25"/>
      <c r="Y17" s="35">
        <v>500</v>
      </c>
      <c r="Z17" s="35"/>
      <c r="AA17" s="25"/>
      <c r="AB17" s="25">
        <v>79783</v>
      </c>
      <c r="AC17" s="25">
        <v>3000</v>
      </c>
      <c r="AD17" s="25">
        <v>1968</v>
      </c>
      <c r="AE17" s="25"/>
      <c r="AF17" s="25"/>
      <c r="AG17" s="25">
        <f t="shared" si="2"/>
        <v>36968</v>
      </c>
      <c r="AH17" s="25"/>
    </row>
    <row r="18" spans="1:34" ht="11.25">
      <c r="A18" s="64" t="s">
        <v>96</v>
      </c>
      <c r="B18" s="65">
        <v>23</v>
      </c>
      <c r="C18" s="35">
        <v>325</v>
      </c>
      <c r="D18" s="25">
        <f t="shared" si="0"/>
        <v>452</v>
      </c>
      <c r="E18" s="25">
        <f t="shared" si="1"/>
        <v>1761251</v>
      </c>
      <c r="F18" s="25">
        <v>1000</v>
      </c>
      <c r="G18" s="66">
        <v>1140023</v>
      </c>
      <c r="H18" s="25">
        <v>93507</v>
      </c>
      <c r="I18" s="25">
        <v>219914</v>
      </c>
      <c r="J18" s="25">
        <v>30526</v>
      </c>
      <c r="K18" s="25"/>
      <c r="L18" s="25"/>
      <c r="M18" s="25">
        <f>7400+2000</f>
        <v>9400</v>
      </c>
      <c r="N18" s="25"/>
      <c r="O18" s="25">
        <v>1100</v>
      </c>
      <c r="P18" s="25">
        <v>141433</v>
      </c>
      <c r="Q18" s="25">
        <f>2500+45000</f>
        <v>47500</v>
      </c>
      <c r="R18" s="25">
        <v>1000</v>
      </c>
      <c r="S18" s="25">
        <v>6600</v>
      </c>
      <c r="T18" s="25"/>
      <c r="U18" s="25">
        <v>1100</v>
      </c>
      <c r="V18" s="25"/>
      <c r="W18" s="25">
        <v>2000</v>
      </c>
      <c r="X18" s="25"/>
      <c r="Y18" s="35">
        <v>500</v>
      </c>
      <c r="Z18" s="35"/>
      <c r="AA18" s="25"/>
      <c r="AB18" s="25">
        <v>65648</v>
      </c>
      <c r="AC18" s="25"/>
      <c r="AD18" s="25"/>
      <c r="AE18" s="25"/>
      <c r="AF18" s="25"/>
      <c r="AG18" s="25">
        <f t="shared" si="2"/>
        <v>70200</v>
      </c>
      <c r="AH18" s="25"/>
    </row>
    <row r="19" spans="1:34" ht="11.25">
      <c r="A19" s="64" t="s">
        <v>97</v>
      </c>
      <c r="B19" s="65">
        <v>26</v>
      </c>
      <c r="C19" s="35">
        <v>299</v>
      </c>
      <c r="D19" s="25">
        <f t="shared" si="0"/>
        <v>427</v>
      </c>
      <c r="E19" s="25">
        <f t="shared" si="1"/>
        <v>1532183</v>
      </c>
      <c r="F19" s="25">
        <v>1000</v>
      </c>
      <c r="G19" s="66">
        <v>1037746</v>
      </c>
      <c r="H19" s="25">
        <v>81915</v>
      </c>
      <c r="I19" s="25">
        <v>199970</v>
      </c>
      <c r="J19" s="25">
        <v>27758</v>
      </c>
      <c r="K19" s="25"/>
      <c r="L19" s="25"/>
      <c r="M19" s="25">
        <f>7592+4500</f>
        <v>12092</v>
      </c>
      <c r="N19" s="25"/>
      <c r="O19" s="25">
        <v>500</v>
      </c>
      <c r="P19" s="25">
        <v>92654</v>
      </c>
      <c r="Q19" s="25">
        <v>1000</v>
      </c>
      <c r="R19" s="25">
        <v>2500</v>
      </c>
      <c r="S19" s="25">
        <v>8200</v>
      </c>
      <c r="T19" s="25"/>
      <c r="U19" s="25">
        <v>720</v>
      </c>
      <c r="V19" s="25"/>
      <c r="W19" s="25">
        <v>3700</v>
      </c>
      <c r="X19" s="25"/>
      <c r="Y19" s="35"/>
      <c r="Z19" s="35"/>
      <c r="AA19" s="25"/>
      <c r="AB19" s="25">
        <v>61928</v>
      </c>
      <c r="AC19" s="25">
        <v>500</v>
      </c>
      <c r="AD19" s="25"/>
      <c r="AE19" s="25"/>
      <c r="AF19" s="25"/>
      <c r="AG19" s="25">
        <f t="shared" si="2"/>
        <v>30212</v>
      </c>
      <c r="AH19" s="25"/>
    </row>
    <row r="20" spans="1:34" ht="11.25">
      <c r="A20" s="64" t="s">
        <v>98</v>
      </c>
      <c r="B20" s="65">
        <v>28</v>
      </c>
      <c r="C20" s="35">
        <v>252</v>
      </c>
      <c r="D20" s="25">
        <f t="shared" si="0"/>
        <v>624</v>
      </c>
      <c r="E20" s="25">
        <f t="shared" si="1"/>
        <v>1886724</v>
      </c>
      <c r="F20" s="25">
        <v>1000</v>
      </c>
      <c r="G20" s="66">
        <v>1250298</v>
      </c>
      <c r="H20" s="25">
        <v>98096</v>
      </c>
      <c r="I20" s="25">
        <v>240676</v>
      </c>
      <c r="J20" s="25">
        <v>33408</v>
      </c>
      <c r="K20" s="25"/>
      <c r="L20" s="25"/>
      <c r="M20" s="25">
        <v>10240</v>
      </c>
      <c r="N20" s="25"/>
      <c r="O20" s="25">
        <v>2000</v>
      </c>
      <c r="P20" s="25">
        <v>149273</v>
      </c>
      <c r="Q20" s="25">
        <f>8000</f>
        <v>8000</v>
      </c>
      <c r="R20" s="25">
        <v>3000</v>
      </c>
      <c r="S20" s="25">
        <v>11000</v>
      </c>
      <c r="T20" s="25"/>
      <c r="U20" s="25">
        <v>500</v>
      </c>
      <c r="V20" s="25"/>
      <c r="W20" s="25"/>
      <c r="X20" s="25"/>
      <c r="Y20" s="35">
        <v>500</v>
      </c>
      <c r="Z20" s="35"/>
      <c r="AA20" s="25"/>
      <c r="AB20" s="25">
        <v>78733</v>
      </c>
      <c r="AC20" s="25"/>
      <c r="AD20" s="25"/>
      <c r="AE20" s="25"/>
      <c r="AF20" s="25"/>
      <c r="AG20" s="25">
        <f t="shared" si="2"/>
        <v>36240</v>
      </c>
      <c r="AH20" s="25"/>
    </row>
    <row r="21" spans="1:34" ht="11.25">
      <c r="A21" s="64" t="s">
        <v>99</v>
      </c>
      <c r="B21" s="65">
        <v>29</v>
      </c>
      <c r="C21" s="35">
        <v>394</v>
      </c>
      <c r="D21" s="25">
        <f t="shared" si="0"/>
        <v>393</v>
      </c>
      <c r="E21" s="25">
        <f t="shared" si="1"/>
        <v>1856236</v>
      </c>
      <c r="F21" s="25">
        <v>2400</v>
      </c>
      <c r="G21" s="66">
        <v>1241190</v>
      </c>
      <c r="H21" s="25">
        <v>99535</v>
      </c>
      <c r="I21" s="25">
        <v>240106</v>
      </c>
      <c r="J21" s="25">
        <v>33329</v>
      </c>
      <c r="K21" s="25"/>
      <c r="L21" s="25"/>
      <c r="M21" s="25">
        <f>9200+899</f>
        <v>10099</v>
      </c>
      <c r="N21" s="25"/>
      <c r="O21" s="25">
        <v>1000</v>
      </c>
      <c r="P21" s="25">
        <v>134010</v>
      </c>
      <c r="Q21" s="25">
        <v>1000</v>
      </c>
      <c r="R21" s="25">
        <v>1560</v>
      </c>
      <c r="S21" s="25">
        <v>7900</v>
      </c>
      <c r="T21" s="25"/>
      <c r="U21" s="25">
        <v>1700</v>
      </c>
      <c r="V21" s="25"/>
      <c r="W21" s="25">
        <v>4300</v>
      </c>
      <c r="X21" s="25"/>
      <c r="Y21" s="35">
        <v>560</v>
      </c>
      <c r="Z21" s="35"/>
      <c r="AA21" s="25">
        <v>604</v>
      </c>
      <c r="AB21" s="25">
        <v>75843</v>
      </c>
      <c r="AC21" s="25">
        <v>1100</v>
      </c>
      <c r="AD21" s="25"/>
      <c r="AE21" s="25"/>
      <c r="AF21" s="25"/>
      <c r="AG21" s="25">
        <f t="shared" si="2"/>
        <v>32223</v>
      </c>
      <c r="AH21" s="25"/>
    </row>
    <row r="22" spans="1:34" ht="11.25">
      <c r="A22" s="64" t="s">
        <v>100</v>
      </c>
      <c r="B22" s="65">
        <v>31</v>
      </c>
      <c r="C22" s="35">
        <v>756</v>
      </c>
      <c r="D22" s="25">
        <f t="shared" si="0"/>
        <v>340</v>
      </c>
      <c r="E22" s="25">
        <f t="shared" si="1"/>
        <v>3083163</v>
      </c>
      <c r="F22" s="25">
        <v>3510</v>
      </c>
      <c r="G22" s="66">
        <v>1961182</v>
      </c>
      <c r="H22" s="25">
        <v>157291</v>
      </c>
      <c r="I22" s="25">
        <v>379720</v>
      </c>
      <c r="J22" s="25">
        <v>52709</v>
      </c>
      <c r="K22" s="25"/>
      <c r="L22" s="25"/>
      <c r="M22" s="25">
        <f>14600+3500</f>
        <v>18100</v>
      </c>
      <c r="N22" s="25"/>
      <c r="O22" s="25">
        <v>5000</v>
      </c>
      <c r="P22" s="25">
        <v>352618</v>
      </c>
      <c r="Q22" s="25">
        <v>6000</v>
      </c>
      <c r="R22" s="25">
        <v>2520</v>
      </c>
      <c r="S22" s="25">
        <f>10000+1000</f>
        <v>11000</v>
      </c>
      <c r="T22" s="25"/>
      <c r="U22" s="25">
        <v>802</v>
      </c>
      <c r="V22" s="25"/>
      <c r="W22" s="25">
        <v>4500</v>
      </c>
      <c r="X22" s="25"/>
      <c r="Y22" s="35">
        <v>500</v>
      </c>
      <c r="Z22" s="35"/>
      <c r="AA22" s="25"/>
      <c r="AB22" s="25">
        <v>122711</v>
      </c>
      <c r="AC22" s="25"/>
      <c r="AD22" s="25"/>
      <c r="AE22" s="25"/>
      <c r="AF22" s="25">
        <v>5000</v>
      </c>
      <c r="AG22" s="25">
        <f t="shared" si="2"/>
        <v>51932</v>
      </c>
      <c r="AH22" s="25"/>
    </row>
    <row r="23" spans="1:34" ht="11.25">
      <c r="A23" s="64" t="s">
        <v>101</v>
      </c>
      <c r="B23" s="65">
        <v>33</v>
      </c>
      <c r="C23" s="35">
        <v>667</v>
      </c>
      <c r="D23" s="25">
        <f t="shared" si="0"/>
        <v>355</v>
      </c>
      <c r="E23" s="25">
        <f t="shared" si="1"/>
        <v>2839021</v>
      </c>
      <c r="F23" s="25">
        <v>1500</v>
      </c>
      <c r="G23" s="66">
        <v>1799363</v>
      </c>
      <c r="H23" s="25">
        <v>130919</v>
      </c>
      <c r="I23" s="25">
        <v>345189</v>
      </c>
      <c r="J23" s="25">
        <v>47916</v>
      </c>
      <c r="K23" s="25"/>
      <c r="L23" s="25"/>
      <c r="M23" s="25">
        <f>14000+4000</f>
        <v>18000</v>
      </c>
      <c r="N23" s="25"/>
      <c r="O23" s="25">
        <v>1000</v>
      </c>
      <c r="P23" s="25">
        <v>248023</v>
      </c>
      <c r="Q23" s="25">
        <f>2000+60000+3000</f>
        <v>65000</v>
      </c>
      <c r="R23" s="25">
        <v>4000</v>
      </c>
      <c r="S23" s="25">
        <v>18000</v>
      </c>
      <c r="T23" s="25"/>
      <c r="U23" s="25"/>
      <c r="V23" s="25"/>
      <c r="W23" s="25">
        <v>4000</v>
      </c>
      <c r="X23" s="25"/>
      <c r="Y23" s="35">
        <v>1500</v>
      </c>
      <c r="Z23" s="35"/>
      <c r="AA23" s="25">
        <v>1000</v>
      </c>
      <c r="AB23" s="25">
        <v>103291</v>
      </c>
      <c r="AC23" s="25">
        <v>4356</v>
      </c>
      <c r="AD23" s="25"/>
      <c r="AE23" s="25">
        <v>45964</v>
      </c>
      <c r="AF23" s="25"/>
      <c r="AG23" s="25">
        <f t="shared" si="2"/>
        <v>118356</v>
      </c>
      <c r="AH23" s="25"/>
    </row>
    <row r="24" spans="1:34" ht="11.25">
      <c r="A24" s="64" t="s">
        <v>102</v>
      </c>
      <c r="B24" s="65">
        <v>34</v>
      </c>
      <c r="C24" s="35">
        <v>254</v>
      </c>
      <c r="D24" s="25">
        <f t="shared" si="0"/>
        <v>635</v>
      </c>
      <c r="E24" s="25">
        <f t="shared" si="1"/>
        <v>1934487</v>
      </c>
      <c r="F24" s="25"/>
      <c r="G24" s="66">
        <v>1270159</v>
      </c>
      <c r="H24" s="25">
        <v>104186</v>
      </c>
      <c r="I24" s="25">
        <v>245350</v>
      </c>
      <c r="J24" s="25">
        <v>34057</v>
      </c>
      <c r="K24" s="25"/>
      <c r="L24" s="25"/>
      <c r="M24" s="25">
        <v>6000</v>
      </c>
      <c r="N24" s="25"/>
      <c r="O24" s="25">
        <v>1000</v>
      </c>
      <c r="P24" s="25">
        <v>151018</v>
      </c>
      <c r="Q24" s="25">
        <v>20000</v>
      </c>
      <c r="R24" s="25">
        <v>2300</v>
      </c>
      <c r="S24" s="25">
        <v>8200</v>
      </c>
      <c r="T24" s="25"/>
      <c r="U24" s="25">
        <v>800</v>
      </c>
      <c r="V24" s="25"/>
      <c r="W24" s="25">
        <v>5100</v>
      </c>
      <c r="X24" s="25"/>
      <c r="Y24" s="35">
        <v>480</v>
      </c>
      <c r="Z24" s="35"/>
      <c r="AA24" s="25"/>
      <c r="AB24" s="25">
        <v>81737</v>
      </c>
      <c r="AC24" s="25">
        <v>4100</v>
      </c>
      <c r="AD24" s="25"/>
      <c r="AE24" s="25"/>
      <c r="AF24" s="25"/>
      <c r="AG24" s="25">
        <f t="shared" si="2"/>
        <v>47980</v>
      </c>
      <c r="AH24" s="25">
        <v>4028</v>
      </c>
    </row>
    <row r="25" spans="1:34" ht="11.25">
      <c r="A25" s="64" t="s">
        <v>103</v>
      </c>
      <c r="B25" s="65">
        <v>35</v>
      </c>
      <c r="C25" s="35">
        <v>348</v>
      </c>
      <c r="D25" s="25">
        <f t="shared" si="0"/>
        <v>464</v>
      </c>
      <c r="E25" s="25">
        <f t="shared" si="1"/>
        <v>1938800</v>
      </c>
      <c r="F25" s="25">
        <v>500</v>
      </c>
      <c r="G25" s="66">
        <v>1227459</v>
      </c>
      <c r="H25" s="25">
        <v>103152</v>
      </c>
      <c r="I25" s="25">
        <v>237703</v>
      </c>
      <c r="J25" s="25">
        <v>32996</v>
      </c>
      <c r="K25" s="25"/>
      <c r="L25" s="25"/>
      <c r="M25" s="25">
        <v>10908</v>
      </c>
      <c r="N25" s="25"/>
      <c r="O25" s="25">
        <v>2000</v>
      </c>
      <c r="P25" s="25">
        <v>177531</v>
      </c>
      <c r="Q25" s="25">
        <f>2000+50000</f>
        <v>52000</v>
      </c>
      <c r="R25" s="25">
        <v>2000</v>
      </c>
      <c r="S25" s="25">
        <v>3000</v>
      </c>
      <c r="T25" s="25"/>
      <c r="U25" s="25"/>
      <c r="V25" s="25"/>
      <c r="W25" s="25">
        <v>7000</v>
      </c>
      <c r="X25" s="25"/>
      <c r="Y25" s="25"/>
      <c r="Z25" s="25"/>
      <c r="AA25" s="25">
        <v>1000</v>
      </c>
      <c r="AB25" s="25">
        <v>81551</v>
      </c>
      <c r="AC25" s="25"/>
      <c r="AD25" s="25"/>
      <c r="AE25" s="25"/>
      <c r="AF25" s="25"/>
      <c r="AG25" s="25">
        <f t="shared" si="2"/>
        <v>78408</v>
      </c>
      <c r="AH25" s="25"/>
    </row>
    <row r="26" spans="1:34" ht="11.25">
      <c r="A26" s="64" t="s">
        <v>72</v>
      </c>
      <c r="B26" s="65">
        <v>37</v>
      </c>
      <c r="C26" s="35">
        <v>113</v>
      </c>
      <c r="D26" s="25">
        <f t="shared" si="0"/>
        <v>729</v>
      </c>
      <c r="E26" s="25">
        <f t="shared" si="1"/>
        <v>989004</v>
      </c>
      <c r="F26" s="25">
        <v>820</v>
      </c>
      <c r="G26" s="66">
        <v>583217</v>
      </c>
      <c r="H26" s="25">
        <v>46462</v>
      </c>
      <c r="I26" s="25">
        <v>112182</v>
      </c>
      <c r="J26" s="25">
        <v>15572</v>
      </c>
      <c r="K26" s="25"/>
      <c r="L26" s="25"/>
      <c r="M26" s="25">
        <f>90656+5500</f>
        <v>96156</v>
      </c>
      <c r="N26" s="25"/>
      <c r="O26" s="25">
        <f>500+500</f>
        <v>1000</v>
      </c>
      <c r="P26" s="25">
        <v>12320</v>
      </c>
      <c r="Q26" s="25">
        <f>1200+60000</f>
        <v>61200</v>
      </c>
      <c r="R26" s="25">
        <v>800</v>
      </c>
      <c r="S26" s="35">
        <v>27496</v>
      </c>
      <c r="T26" s="35"/>
      <c r="U26" s="35">
        <v>1224</v>
      </c>
      <c r="V26" s="35"/>
      <c r="W26" s="35"/>
      <c r="X26" s="35"/>
      <c r="Y26" s="35"/>
      <c r="Z26" s="35"/>
      <c r="AA26" s="25"/>
      <c r="AB26" s="25">
        <v>30555</v>
      </c>
      <c r="AC26" s="25"/>
      <c r="AD26" s="25"/>
      <c r="AE26" s="25"/>
      <c r="AF26" s="25"/>
      <c r="AG26" s="25">
        <f t="shared" si="2"/>
        <v>188696</v>
      </c>
      <c r="AH26" s="25"/>
    </row>
    <row r="27" spans="1:34" ht="11.25">
      <c r="A27" s="64" t="s">
        <v>104</v>
      </c>
      <c r="B27" s="65">
        <v>39</v>
      </c>
      <c r="C27" s="35">
        <v>696</v>
      </c>
      <c r="D27" s="25">
        <f t="shared" si="0"/>
        <v>358</v>
      </c>
      <c r="E27" s="25">
        <f t="shared" si="1"/>
        <v>2992004</v>
      </c>
      <c r="F27" s="25">
        <v>3700</v>
      </c>
      <c r="G27" s="66">
        <v>1945773</v>
      </c>
      <c r="H27" s="25">
        <v>169165</v>
      </c>
      <c r="I27" s="25">
        <v>380288</v>
      </c>
      <c r="J27" s="25">
        <v>52788</v>
      </c>
      <c r="K27" s="25">
        <v>11200</v>
      </c>
      <c r="L27" s="25"/>
      <c r="M27" s="25">
        <f>14064+6000</f>
        <v>20064</v>
      </c>
      <c r="N27" s="25"/>
      <c r="O27" s="25">
        <v>2000</v>
      </c>
      <c r="P27" s="25">
        <v>238850</v>
      </c>
      <c r="Q27" s="25">
        <f>3000+20000</f>
        <v>23000</v>
      </c>
      <c r="R27" s="25">
        <v>3300</v>
      </c>
      <c r="S27" s="25">
        <v>13400</v>
      </c>
      <c r="T27" s="25"/>
      <c r="U27" s="25">
        <v>1300</v>
      </c>
      <c r="V27" s="25"/>
      <c r="W27" s="25">
        <v>4000</v>
      </c>
      <c r="X27" s="25"/>
      <c r="Y27" s="35">
        <v>1000</v>
      </c>
      <c r="Z27" s="35"/>
      <c r="AA27" s="25">
        <v>3200</v>
      </c>
      <c r="AB27" s="25">
        <v>117176</v>
      </c>
      <c r="AC27" s="25">
        <v>800</v>
      </c>
      <c r="AD27" s="25">
        <v>1000</v>
      </c>
      <c r="AE27" s="25"/>
      <c r="AF27" s="25"/>
      <c r="AG27" s="25">
        <f t="shared" si="2"/>
        <v>87964</v>
      </c>
      <c r="AH27" s="25"/>
    </row>
    <row r="28" spans="1:34" ht="11.25">
      <c r="A28" s="64" t="s">
        <v>105</v>
      </c>
      <c r="B28" s="65">
        <v>40</v>
      </c>
      <c r="C28" s="35">
        <v>799</v>
      </c>
      <c r="D28" s="25">
        <f t="shared" si="0"/>
        <v>302</v>
      </c>
      <c r="E28" s="25">
        <f t="shared" si="1"/>
        <v>2898378</v>
      </c>
      <c r="F28" s="25">
        <v>1500</v>
      </c>
      <c r="G28" s="66">
        <v>1892172</v>
      </c>
      <c r="H28" s="25">
        <v>170221</v>
      </c>
      <c r="I28" s="25">
        <v>369036</v>
      </c>
      <c r="J28" s="25">
        <v>51226</v>
      </c>
      <c r="K28" s="25">
        <v>16000</v>
      </c>
      <c r="L28" s="25">
        <v>3432</v>
      </c>
      <c r="M28" s="25">
        <f>14048+2000</f>
        <v>16048</v>
      </c>
      <c r="N28" s="25"/>
      <c r="O28" s="25">
        <f>1500+1500</f>
        <v>3000</v>
      </c>
      <c r="P28" s="25">
        <v>174721</v>
      </c>
      <c r="Q28" s="25">
        <f>2000+50000</f>
        <v>52000</v>
      </c>
      <c r="R28" s="25">
        <v>1400</v>
      </c>
      <c r="S28" s="25">
        <v>11520</v>
      </c>
      <c r="T28" s="25"/>
      <c r="U28" s="25">
        <v>1428</v>
      </c>
      <c r="V28" s="25"/>
      <c r="W28" s="25">
        <v>8000</v>
      </c>
      <c r="X28" s="25"/>
      <c r="Y28" s="35">
        <v>900</v>
      </c>
      <c r="Z28" s="35"/>
      <c r="AA28" s="25"/>
      <c r="AB28" s="25">
        <v>123774</v>
      </c>
      <c r="AC28" s="25">
        <v>2000</v>
      </c>
      <c r="AD28" s="25"/>
      <c r="AE28" s="25"/>
      <c r="AF28" s="25"/>
      <c r="AG28" s="25">
        <f t="shared" si="2"/>
        <v>117228</v>
      </c>
      <c r="AH28" s="25"/>
    </row>
    <row r="29" spans="1:34" ht="11.25">
      <c r="A29" s="64" t="s">
        <v>106</v>
      </c>
      <c r="B29" s="65">
        <v>42</v>
      </c>
      <c r="C29" s="35">
        <v>372</v>
      </c>
      <c r="D29" s="25">
        <f t="shared" si="0"/>
        <v>449</v>
      </c>
      <c r="E29" s="25">
        <f t="shared" si="1"/>
        <v>2006011</v>
      </c>
      <c r="F29" s="25">
        <v>1200</v>
      </c>
      <c r="G29" s="66">
        <v>1129216</v>
      </c>
      <c r="H29" s="25">
        <v>98032</v>
      </c>
      <c r="I29" s="25">
        <v>219492</v>
      </c>
      <c r="J29" s="25">
        <v>30468</v>
      </c>
      <c r="K29" s="25"/>
      <c r="L29" s="25"/>
      <c r="M29" s="25">
        <f>7000+600</f>
        <v>7600</v>
      </c>
      <c r="N29" s="25"/>
      <c r="O29" s="25">
        <v>400</v>
      </c>
      <c r="P29" s="25">
        <v>377974</v>
      </c>
      <c r="Q29" s="25">
        <f>504+50000</f>
        <v>50504</v>
      </c>
      <c r="R29" s="25">
        <v>1500</v>
      </c>
      <c r="S29" s="25">
        <v>6780</v>
      </c>
      <c r="T29" s="25"/>
      <c r="U29" s="25">
        <v>2100</v>
      </c>
      <c r="V29" s="25"/>
      <c r="W29" s="25">
        <v>3000</v>
      </c>
      <c r="X29" s="25"/>
      <c r="Y29" s="35">
        <v>100</v>
      </c>
      <c r="Z29" s="35"/>
      <c r="AA29" s="25"/>
      <c r="AB29" s="25">
        <v>73445</v>
      </c>
      <c r="AC29" s="25">
        <v>1200</v>
      </c>
      <c r="AD29" s="25">
        <v>3000</v>
      </c>
      <c r="AE29" s="25"/>
      <c r="AF29" s="25"/>
      <c r="AG29" s="25">
        <f t="shared" si="2"/>
        <v>77384</v>
      </c>
      <c r="AH29" s="25"/>
    </row>
    <row r="30" spans="1:34" ht="11.25">
      <c r="A30" s="64" t="s">
        <v>107</v>
      </c>
      <c r="B30" s="65">
        <v>43</v>
      </c>
      <c r="C30" s="35">
        <v>467</v>
      </c>
      <c r="D30" s="25">
        <f t="shared" si="0"/>
        <v>355</v>
      </c>
      <c r="E30" s="25">
        <f t="shared" si="1"/>
        <v>1988957</v>
      </c>
      <c r="F30" s="25">
        <f>6000-2000</f>
        <v>4000</v>
      </c>
      <c r="G30" s="66">
        <v>1288925</v>
      </c>
      <c r="H30" s="25">
        <v>121422</v>
      </c>
      <c r="I30" s="25">
        <v>251812</v>
      </c>
      <c r="J30" s="25">
        <v>34954</v>
      </c>
      <c r="K30" s="25"/>
      <c r="L30" s="25">
        <f>2000-1000</f>
        <v>1000</v>
      </c>
      <c r="M30" s="25">
        <f>8000-3000+6000</f>
        <v>11000</v>
      </c>
      <c r="N30" s="25"/>
      <c r="O30" s="25">
        <f>4000-1000</f>
        <v>3000</v>
      </c>
      <c r="P30" s="25">
        <v>181516</v>
      </c>
      <c r="Q30" s="25">
        <v>1500</v>
      </c>
      <c r="R30" s="25">
        <v>2500</v>
      </c>
      <c r="S30" s="25">
        <f>6000-2000</f>
        <v>4000</v>
      </c>
      <c r="T30" s="25"/>
      <c r="U30" s="25">
        <v>2000</v>
      </c>
      <c r="V30" s="25"/>
      <c r="W30" s="25">
        <v>2032</v>
      </c>
      <c r="X30" s="25"/>
      <c r="Y30" s="35">
        <v>800</v>
      </c>
      <c r="Z30" s="35"/>
      <c r="AA30" s="25"/>
      <c r="AB30" s="25">
        <v>78496</v>
      </c>
      <c r="AC30" s="25"/>
      <c r="AD30" s="25"/>
      <c r="AE30" s="25"/>
      <c r="AF30" s="25"/>
      <c r="AG30" s="25">
        <f t="shared" si="2"/>
        <v>31832</v>
      </c>
      <c r="AH30" s="25"/>
    </row>
    <row r="31" spans="1:34" ht="11.25">
      <c r="A31" s="64" t="s">
        <v>108</v>
      </c>
      <c r="B31" s="65">
        <v>44</v>
      </c>
      <c r="C31" s="35">
        <v>159</v>
      </c>
      <c r="D31" s="25">
        <f t="shared" si="0"/>
        <v>476</v>
      </c>
      <c r="E31" s="25">
        <f t="shared" si="1"/>
        <v>908895</v>
      </c>
      <c r="F31" s="25">
        <v>1733</v>
      </c>
      <c r="G31" s="66">
        <v>527001</v>
      </c>
      <c r="H31" s="25">
        <v>43609</v>
      </c>
      <c r="I31" s="25">
        <v>102620</v>
      </c>
      <c r="J31" s="25">
        <v>14245</v>
      </c>
      <c r="K31" s="25">
        <v>2150</v>
      </c>
      <c r="L31" s="25"/>
      <c r="M31" s="25">
        <f>1911+6000</f>
        <v>7911</v>
      </c>
      <c r="N31" s="25"/>
      <c r="O31" s="25">
        <v>440</v>
      </c>
      <c r="P31" s="25">
        <v>111950</v>
      </c>
      <c r="Q31" s="25">
        <f>310+60000</f>
        <v>60310</v>
      </c>
      <c r="R31" s="25">
        <v>1872</v>
      </c>
      <c r="S31" s="35">
        <v>1240</v>
      </c>
      <c r="T31" s="35"/>
      <c r="U31" s="35"/>
      <c r="V31" s="35"/>
      <c r="W31" s="35">
        <v>200</v>
      </c>
      <c r="X31" s="35"/>
      <c r="Y31" s="35">
        <v>350</v>
      </c>
      <c r="Z31" s="35"/>
      <c r="AA31" s="25"/>
      <c r="AB31" s="25">
        <v>32814</v>
      </c>
      <c r="AC31" s="25">
        <v>350</v>
      </c>
      <c r="AD31" s="25">
        <v>100</v>
      </c>
      <c r="AE31" s="25"/>
      <c r="AF31" s="25"/>
      <c r="AG31" s="25">
        <f t="shared" si="2"/>
        <v>76656</v>
      </c>
      <c r="AH31" s="25"/>
    </row>
    <row r="32" spans="1:34" ht="11.25">
      <c r="A32" s="64" t="s">
        <v>109</v>
      </c>
      <c r="B32" s="65">
        <v>45</v>
      </c>
      <c r="C32" s="35">
        <v>212</v>
      </c>
      <c r="D32" s="25">
        <f t="shared" si="0"/>
        <v>458</v>
      </c>
      <c r="E32" s="25">
        <f t="shared" si="1"/>
        <v>1165284</v>
      </c>
      <c r="F32" s="25">
        <v>1000</v>
      </c>
      <c r="G32" s="66">
        <v>776590</v>
      </c>
      <c r="H32" s="25">
        <v>59240</v>
      </c>
      <c r="I32" s="25">
        <v>148745</v>
      </c>
      <c r="J32" s="25">
        <v>20648</v>
      </c>
      <c r="K32" s="25">
        <v>8000</v>
      </c>
      <c r="L32" s="25">
        <v>500</v>
      </c>
      <c r="M32" s="25">
        <v>4450</v>
      </c>
      <c r="N32" s="25"/>
      <c r="O32" s="25">
        <v>1000</v>
      </c>
      <c r="P32" s="25">
        <v>77855</v>
      </c>
      <c r="Q32" s="25">
        <v>15000</v>
      </c>
      <c r="R32" s="25">
        <v>1500</v>
      </c>
      <c r="S32" s="35">
        <v>4120</v>
      </c>
      <c r="T32" s="35"/>
      <c r="U32" s="35">
        <v>476</v>
      </c>
      <c r="V32" s="35"/>
      <c r="W32" s="35">
        <v>4800</v>
      </c>
      <c r="X32" s="35"/>
      <c r="Y32" s="35">
        <v>1350</v>
      </c>
      <c r="Z32" s="35"/>
      <c r="AA32" s="25"/>
      <c r="AB32" s="25">
        <v>40010</v>
      </c>
      <c r="AC32" s="25"/>
      <c r="AD32" s="25"/>
      <c r="AE32" s="25"/>
      <c r="AF32" s="25"/>
      <c r="AG32" s="25">
        <f t="shared" si="2"/>
        <v>42196</v>
      </c>
      <c r="AH32" s="25"/>
    </row>
    <row r="33" spans="1:34" ht="11.25">
      <c r="A33" s="64" t="s">
        <v>110</v>
      </c>
      <c r="B33" s="65">
        <v>46</v>
      </c>
      <c r="C33" s="35">
        <v>526</v>
      </c>
      <c r="D33" s="25">
        <f t="shared" si="0"/>
        <v>322</v>
      </c>
      <c r="E33" s="25">
        <f t="shared" si="1"/>
        <v>2033605</v>
      </c>
      <c r="F33" s="25">
        <v>2700</v>
      </c>
      <c r="G33" s="66">
        <v>1335240</v>
      </c>
      <c r="H33" s="25">
        <v>110555</v>
      </c>
      <c r="I33" s="25">
        <v>258526</v>
      </c>
      <c r="J33" s="25">
        <v>35886</v>
      </c>
      <c r="K33" s="25"/>
      <c r="L33" s="25"/>
      <c r="M33" s="25">
        <f>13600+600</f>
        <v>14200</v>
      </c>
      <c r="N33" s="25"/>
      <c r="O33" s="25">
        <v>1039</v>
      </c>
      <c r="P33" s="25">
        <v>179450</v>
      </c>
      <c r="Q33" s="25">
        <v>3000</v>
      </c>
      <c r="R33" s="25">
        <v>720</v>
      </c>
      <c r="S33" s="25">
        <v>7713</v>
      </c>
      <c r="T33" s="25"/>
      <c r="U33" s="25">
        <v>500</v>
      </c>
      <c r="V33" s="25"/>
      <c r="W33" s="25"/>
      <c r="X33" s="25"/>
      <c r="Y33" s="35">
        <v>700</v>
      </c>
      <c r="Z33" s="35"/>
      <c r="AA33" s="25">
        <v>1000</v>
      </c>
      <c r="AB33" s="25">
        <v>82376</v>
      </c>
      <c r="AC33" s="25"/>
      <c r="AD33" s="25"/>
      <c r="AE33" s="25"/>
      <c r="AF33" s="25"/>
      <c r="AG33" s="25">
        <f t="shared" si="2"/>
        <v>31572</v>
      </c>
      <c r="AH33" s="25"/>
    </row>
    <row r="34" spans="1:34" ht="11.25">
      <c r="A34" s="64" t="s">
        <v>111</v>
      </c>
      <c r="B34" s="65">
        <v>47</v>
      </c>
      <c r="C34" s="35">
        <v>562</v>
      </c>
      <c r="D34" s="25">
        <f t="shared" si="0"/>
        <v>454</v>
      </c>
      <c r="E34" s="25">
        <f t="shared" si="1"/>
        <v>3062883</v>
      </c>
      <c r="F34" s="25">
        <v>1625</v>
      </c>
      <c r="G34" s="66">
        <v>2057916</v>
      </c>
      <c r="H34" s="25">
        <v>173507</v>
      </c>
      <c r="I34" s="25">
        <v>402695</v>
      </c>
      <c r="J34" s="25">
        <v>55898</v>
      </c>
      <c r="K34" s="25"/>
      <c r="L34" s="25">
        <v>1000</v>
      </c>
      <c r="M34" s="25">
        <v>11500</v>
      </c>
      <c r="N34" s="25">
        <v>1857</v>
      </c>
      <c r="O34" s="25">
        <v>2500</v>
      </c>
      <c r="P34" s="25">
        <v>194522</v>
      </c>
      <c r="Q34" s="25">
        <v>4000</v>
      </c>
      <c r="R34" s="25">
        <v>1500</v>
      </c>
      <c r="S34" s="25">
        <v>4200</v>
      </c>
      <c r="T34" s="25">
        <v>11096</v>
      </c>
      <c r="U34" s="25">
        <v>319</v>
      </c>
      <c r="V34" s="25">
        <v>572</v>
      </c>
      <c r="W34" s="25">
        <v>5316</v>
      </c>
      <c r="X34" s="25"/>
      <c r="Y34" s="25">
        <v>100</v>
      </c>
      <c r="Z34" s="25">
        <v>3960</v>
      </c>
      <c r="AA34" s="25">
        <v>3100</v>
      </c>
      <c r="AB34" s="25">
        <v>125700</v>
      </c>
      <c r="AC34" s="25"/>
      <c r="AD34" s="25"/>
      <c r="AE34" s="25"/>
      <c r="AF34" s="25"/>
      <c r="AG34" s="25">
        <f t="shared" si="2"/>
        <v>35732</v>
      </c>
      <c r="AH34" s="25">
        <v>11332</v>
      </c>
    </row>
    <row r="35" spans="1:34" ht="11.25">
      <c r="A35" s="64" t="s">
        <v>112</v>
      </c>
      <c r="B35" s="65">
        <v>48</v>
      </c>
      <c r="C35" s="35">
        <v>289</v>
      </c>
      <c r="D35" s="25">
        <f t="shared" si="0"/>
        <v>352</v>
      </c>
      <c r="E35" s="25">
        <f t="shared" si="1"/>
        <v>1220242</v>
      </c>
      <c r="F35" s="25">
        <v>2000</v>
      </c>
      <c r="G35" s="66">
        <v>750553</v>
      </c>
      <c r="H35" s="25">
        <v>62028</v>
      </c>
      <c r="I35" s="25">
        <v>145273</v>
      </c>
      <c r="J35" s="25">
        <v>20165</v>
      </c>
      <c r="K35" s="25"/>
      <c r="L35" s="25"/>
      <c r="M35" s="25">
        <f>4608+4000</f>
        <v>8608</v>
      </c>
      <c r="N35" s="25"/>
      <c r="O35" s="25">
        <v>500</v>
      </c>
      <c r="P35" s="25">
        <v>162150</v>
      </c>
      <c r="Q35" s="25">
        <v>2500</v>
      </c>
      <c r="R35" s="25">
        <v>1000</v>
      </c>
      <c r="S35" s="25">
        <f>3500+1000</f>
        <v>4500</v>
      </c>
      <c r="T35" s="25"/>
      <c r="U35" s="25">
        <v>900</v>
      </c>
      <c r="V35" s="25"/>
      <c r="W35" s="25">
        <v>3000</v>
      </c>
      <c r="X35" s="25"/>
      <c r="Y35" s="25"/>
      <c r="Z35" s="25"/>
      <c r="AA35" s="25">
        <v>5352</v>
      </c>
      <c r="AB35" s="25">
        <v>50213</v>
      </c>
      <c r="AC35" s="25">
        <v>1500</v>
      </c>
      <c r="AD35" s="25"/>
      <c r="AE35" s="25"/>
      <c r="AF35" s="25"/>
      <c r="AG35" s="25">
        <f t="shared" si="2"/>
        <v>29860</v>
      </c>
      <c r="AH35" s="25">
        <v>13200</v>
      </c>
    </row>
    <row r="36" spans="1:34" s="67" customFormat="1" ht="11.25">
      <c r="A36" s="35"/>
      <c r="B36" s="50" t="s">
        <v>21</v>
      </c>
      <c r="C36" s="25">
        <f>SUM(C5:C35)</f>
        <v>12891</v>
      </c>
      <c r="D36" s="26">
        <f t="shared" si="0"/>
        <v>387</v>
      </c>
      <c r="E36" s="26">
        <f>SUM(E5:E35)</f>
        <v>59883670</v>
      </c>
      <c r="F36" s="26">
        <f aca="true" t="shared" si="3" ref="F36:AH36">SUM(F5:F35)</f>
        <v>61407</v>
      </c>
      <c r="G36" s="26">
        <f t="shared" si="3"/>
        <v>38645960</v>
      </c>
      <c r="H36" s="26">
        <f t="shared" si="3"/>
        <v>3207043</v>
      </c>
      <c r="I36" s="26">
        <f t="shared" si="3"/>
        <v>7495723</v>
      </c>
      <c r="J36" s="26">
        <f t="shared" si="3"/>
        <v>1040486</v>
      </c>
      <c r="K36" s="26">
        <f t="shared" si="3"/>
        <v>85850</v>
      </c>
      <c r="L36" s="26">
        <f t="shared" si="3"/>
        <v>9089</v>
      </c>
      <c r="M36" s="26">
        <f t="shared" si="3"/>
        <v>429003</v>
      </c>
      <c r="N36" s="26">
        <f t="shared" si="3"/>
        <v>5157</v>
      </c>
      <c r="O36" s="26">
        <f t="shared" si="3"/>
        <v>48079</v>
      </c>
      <c r="P36" s="26">
        <f t="shared" si="3"/>
        <v>4736100</v>
      </c>
      <c r="Q36" s="26">
        <f t="shared" si="3"/>
        <v>1070908</v>
      </c>
      <c r="R36" s="26">
        <f t="shared" si="3"/>
        <v>59472</v>
      </c>
      <c r="S36" s="26">
        <f t="shared" si="3"/>
        <v>271837</v>
      </c>
      <c r="T36" s="26">
        <f t="shared" si="3"/>
        <v>12096</v>
      </c>
      <c r="U36" s="26">
        <f t="shared" si="3"/>
        <v>31967</v>
      </c>
      <c r="V36" s="26">
        <f>SUM(V5:V35)</f>
        <v>12872</v>
      </c>
      <c r="W36" s="26">
        <f>SUM(W5:W35)</f>
        <v>96748</v>
      </c>
      <c r="X36" s="26">
        <f>SUM(X5:X35)</f>
        <v>2000</v>
      </c>
      <c r="Y36" s="26">
        <f t="shared" si="3"/>
        <v>17684</v>
      </c>
      <c r="Z36" s="26">
        <f t="shared" si="3"/>
        <v>17084</v>
      </c>
      <c r="AA36" s="26">
        <f t="shared" si="3"/>
        <v>24456</v>
      </c>
      <c r="AB36" s="26">
        <f t="shared" si="3"/>
        <v>2390411</v>
      </c>
      <c r="AC36" s="26">
        <f t="shared" si="3"/>
        <v>23706</v>
      </c>
      <c r="AD36" s="26">
        <f t="shared" si="3"/>
        <v>7568</v>
      </c>
      <c r="AE36" s="26">
        <f>SUM(AE5:AE35)</f>
        <v>75964</v>
      </c>
      <c r="AF36" s="26">
        <f>SUM(AF5:AF35)</f>
        <v>5000</v>
      </c>
      <c r="AG36" s="47">
        <f>F36+K36+L36+M36+O36+Q36+R36+S36+U36+Y36+AA36</f>
        <v>2109752</v>
      </c>
      <c r="AH36" s="26">
        <f t="shared" si="3"/>
        <v>62240</v>
      </c>
    </row>
    <row r="37" spans="1:33" ht="11.25" hidden="1">
      <c r="A37" s="35"/>
      <c r="B37" s="50" t="s">
        <v>55</v>
      </c>
      <c r="C37" s="25"/>
      <c r="D37" s="35"/>
      <c r="E37" s="26"/>
      <c r="F37" s="25"/>
      <c r="G37" s="25"/>
      <c r="H37" s="25"/>
      <c r="I37" s="25"/>
      <c r="J37" s="25"/>
      <c r="K37" s="25"/>
      <c r="L37" s="25" t="s">
        <v>22</v>
      </c>
      <c r="M37" s="25" t="s">
        <v>22</v>
      </c>
      <c r="N37" s="25"/>
      <c r="O37" s="25" t="s">
        <v>22</v>
      </c>
      <c r="P37" s="25"/>
      <c r="Q37" s="25"/>
      <c r="R37" s="25" t="s">
        <v>22</v>
      </c>
      <c r="S37" s="25" t="s">
        <v>22</v>
      </c>
      <c r="T37" s="25"/>
      <c r="U37" s="25"/>
      <c r="V37" s="25"/>
      <c r="W37" s="25"/>
      <c r="X37" s="25"/>
      <c r="Y37" s="25" t="s">
        <v>22</v>
      </c>
      <c r="Z37" s="25"/>
      <c r="AA37" s="68"/>
      <c r="AB37" s="68"/>
      <c r="AC37" s="68"/>
      <c r="AD37" s="68"/>
      <c r="AE37" s="68"/>
      <c r="AF37" s="68"/>
      <c r="AG37" s="35"/>
    </row>
    <row r="38" spans="1:33" ht="11.25">
      <c r="A38" s="51" t="s">
        <v>78</v>
      </c>
      <c r="B38" s="51"/>
      <c r="C38" s="51"/>
      <c r="D38" s="50"/>
      <c r="E38" s="69">
        <v>107229</v>
      </c>
      <c r="F38" s="25"/>
      <c r="G38" s="66">
        <v>107229</v>
      </c>
      <c r="H38" s="25"/>
      <c r="I38" s="25"/>
      <c r="J38" s="25"/>
      <c r="K38" s="25"/>
      <c r="L38" s="25" t="s">
        <v>22</v>
      </c>
      <c r="M38" s="25" t="s">
        <v>22</v>
      </c>
      <c r="N38" s="25"/>
      <c r="O38" s="25" t="s">
        <v>22</v>
      </c>
      <c r="P38" s="35"/>
      <c r="Q38" s="35"/>
      <c r="R38" s="25" t="s">
        <v>22</v>
      </c>
      <c r="S38" s="25" t="s">
        <v>22</v>
      </c>
      <c r="T38" s="25"/>
      <c r="U38" s="25"/>
      <c r="V38" s="25"/>
      <c r="W38" s="25"/>
      <c r="X38" s="25"/>
      <c r="Y38" s="35"/>
      <c r="Z38" s="35"/>
      <c r="AA38" s="68"/>
      <c r="AB38" s="68"/>
      <c r="AC38" s="68"/>
      <c r="AD38" s="68"/>
      <c r="AE38" s="68"/>
      <c r="AF38" s="68"/>
      <c r="AG38" s="35"/>
    </row>
    <row r="39" spans="1:33" ht="11.25">
      <c r="A39" s="51" t="s">
        <v>135</v>
      </c>
      <c r="B39" s="51"/>
      <c r="C39" s="51"/>
      <c r="D39" s="50"/>
      <c r="E39" s="69">
        <v>1005000</v>
      </c>
      <c r="F39" s="25"/>
      <c r="G39" s="66"/>
      <c r="H39" s="25"/>
      <c r="I39" s="25"/>
      <c r="J39" s="25"/>
      <c r="K39" s="25"/>
      <c r="L39" s="25"/>
      <c r="M39" s="25"/>
      <c r="N39" s="25"/>
      <c r="O39" s="25"/>
      <c r="P39" s="35"/>
      <c r="Q39" s="35"/>
      <c r="R39" s="25"/>
      <c r="S39" s="25"/>
      <c r="T39" s="25"/>
      <c r="U39" s="25"/>
      <c r="V39" s="25"/>
      <c r="W39" s="25"/>
      <c r="X39" s="25"/>
      <c r="Y39" s="35"/>
      <c r="Z39" s="35"/>
      <c r="AA39" s="68"/>
      <c r="AB39" s="68"/>
      <c r="AC39" s="68"/>
      <c r="AD39" s="68"/>
      <c r="AE39" s="68"/>
      <c r="AF39" s="68"/>
      <c r="AG39" s="35"/>
    </row>
    <row r="40" spans="1:33" ht="11.25">
      <c r="A40" s="51" t="s">
        <v>76</v>
      </c>
      <c r="B40" s="70"/>
      <c r="C40" s="51"/>
      <c r="D40" s="50"/>
      <c r="E40" s="69">
        <v>2030736</v>
      </c>
      <c r="F40" s="25"/>
      <c r="G40" s="35"/>
      <c r="H40" s="25"/>
      <c r="I40" s="25"/>
      <c r="J40" s="25"/>
      <c r="K40" s="35"/>
      <c r="L40" s="25"/>
      <c r="M40" s="25"/>
      <c r="N40" s="25"/>
      <c r="O40" s="25"/>
      <c r="P40" s="35"/>
      <c r="Q40" s="47"/>
      <c r="R40" s="35"/>
      <c r="S40" s="35"/>
      <c r="T40" s="35"/>
      <c r="U40" s="35"/>
      <c r="V40" s="35"/>
      <c r="W40" s="35"/>
      <c r="X40" s="35"/>
      <c r="Y40" s="35"/>
      <c r="Z40" s="35"/>
      <c r="AA40" s="68"/>
      <c r="AB40" s="25"/>
      <c r="AC40" s="25"/>
      <c r="AD40" s="25"/>
      <c r="AE40" s="25"/>
      <c r="AF40" s="25"/>
      <c r="AG40" s="35"/>
    </row>
    <row r="41" spans="1:33" s="58" customFormat="1" ht="11.25">
      <c r="A41" s="50" t="s">
        <v>56</v>
      </c>
      <c r="B41" s="50"/>
      <c r="C41" s="35"/>
      <c r="D41" s="36"/>
      <c r="E41" s="26">
        <f aca="true" t="shared" si="4" ref="E41:X41">SUM(E36:E40)</f>
        <v>63026635</v>
      </c>
      <c r="F41" s="26">
        <f t="shared" si="4"/>
        <v>61407</v>
      </c>
      <c r="G41" s="26">
        <f t="shared" si="4"/>
        <v>38753189</v>
      </c>
      <c r="H41" s="26">
        <f t="shared" si="4"/>
        <v>3207043</v>
      </c>
      <c r="I41" s="26">
        <f t="shared" si="4"/>
        <v>7495723</v>
      </c>
      <c r="J41" s="26">
        <f t="shared" si="4"/>
        <v>1040486</v>
      </c>
      <c r="K41" s="26">
        <f t="shared" si="4"/>
        <v>85850</v>
      </c>
      <c r="L41" s="26">
        <f t="shared" si="4"/>
        <v>9089</v>
      </c>
      <c r="M41" s="26">
        <f t="shared" si="4"/>
        <v>429003</v>
      </c>
      <c r="N41" s="26">
        <f t="shared" si="4"/>
        <v>5157</v>
      </c>
      <c r="O41" s="26">
        <f t="shared" si="4"/>
        <v>48079</v>
      </c>
      <c r="P41" s="26">
        <f t="shared" si="4"/>
        <v>4736100</v>
      </c>
      <c r="Q41" s="26">
        <f t="shared" si="4"/>
        <v>1070908</v>
      </c>
      <c r="R41" s="26">
        <f t="shared" si="4"/>
        <v>59472</v>
      </c>
      <c r="S41" s="26">
        <f t="shared" si="4"/>
        <v>271837</v>
      </c>
      <c r="T41" s="26">
        <f t="shared" si="4"/>
        <v>12096</v>
      </c>
      <c r="U41" s="26">
        <f t="shared" si="4"/>
        <v>31967</v>
      </c>
      <c r="V41" s="26">
        <f t="shared" si="4"/>
        <v>12872</v>
      </c>
      <c r="W41" s="26">
        <f t="shared" si="4"/>
        <v>96748</v>
      </c>
      <c r="X41" s="26">
        <f t="shared" si="4"/>
        <v>2000</v>
      </c>
      <c r="Y41" s="26">
        <f aca="true" t="shared" si="5" ref="Y41:AG41">SUM(Y36:Y40)</f>
        <v>17684</v>
      </c>
      <c r="Z41" s="26">
        <f t="shared" si="5"/>
        <v>17084</v>
      </c>
      <c r="AA41" s="26">
        <f t="shared" si="5"/>
        <v>24456</v>
      </c>
      <c r="AB41" s="26">
        <f t="shared" si="5"/>
        <v>2390411</v>
      </c>
      <c r="AC41" s="26">
        <f t="shared" si="5"/>
        <v>23706</v>
      </c>
      <c r="AD41" s="26">
        <f t="shared" si="5"/>
        <v>7568</v>
      </c>
      <c r="AE41" s="26">
        <f t="shared" si="5"/>
        <v>75964</v>
      </c>
      <c r="AF41" s="26">
        <f>SUM(AF36:AF40)</f>
        <v>5000</v>
      </c>
      <c r="AG41" s="26">
        <f t="shared" si="5"/>
        <v>2109752</v>
      </c>
    </row>
    <row r="42" spans="1:33" ht="11.25">
      <c r="A42" s="20"/>
      <c r="B42" s="20"/>
      <c r="C42" s="20"/>
      <c r="D42" s="20"/>
      <c r="E42" s="53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</row>
    <row r="43" spans="3:5" ht="11.25">
      <c r="C43" s="11" t="s">
        <v>22</v>
      </c>
      <c r="E43" s="71"/>
    </row>
    <row r="44" ht="11.25">
      <c r="E44" s="71"/>
    </row>
    <row r="46" ht="11.25">
      <c r="E46" s="71"/>
    </row>
    <row r="52" spans="1:10" ht="12">
      <c r="A52" s="72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1.25">
      <c r="A53" s="73"/>
      <c r="B53" s="73"/>
      <c r="C53" s="20"/>
      <c r="D53" s="20"/>
      <c r="E53" s="52"/>
      <c r="F53" s="74"/>
      <c r="G53" s="74"/>
      <c r="H53" s="20"/>
      <c r="I53" s="20"/>
      <c r="J53" s="52"/>
    </row>
    <row r="54" spans="1:10" ht="11.25">
      <c r="A54" s="20"/>
      <c r="B54" s="20"/>
      <c r="C54" s="20"/>
      <c r="D54" s="20"/>
      <c r="E54" s="53"/>
      <c r="F54" s="53"/>
      <c r="G54" s="53"/>
      <c r="H54" s="53"/>
      <c r="I54" s="53"/>
      <c r="J54" s="53"/>
    </row>
    <row r="55" spans="1:10" ht="11.25">
      <c r="A55" s="20"/>
      <c r="B55" s="20"/>
      <c r="C55" s="20"/>
      <c r="D55" s="20"/>
      <c r="E55" s="53"/>
      <c r="F55" s="53"/>
      <c r="G55" s="53"/>
      <c r="H55" s="53"/>
      <c r="I55" s="53"/>
      <c r="J55" s="53"/>
    </row>
    <row r="56" spans="1:10" ht="11.25">
      <c r="A56" s="20"/>
      <c r="B56" s="20"/>
      <c r="C56" s="20"/>
      <c r="D56" s="20"/>
      <c r="E56" s="53"/>
      <c r="F56" s="53"/>
      <c r="G56" s="53"/>
      <c r="H56" s="53"/>
      <c r="I56" s="53"/>
      <c r="J56" s="53"/>
    </row>
    <row r="57" spans="1:10" ht="11.25">
      <c r="A57" s="20"/>
      <c r="B57" s="20"/>
      <c r="C57" s="20"/>
      <c r="D57" s="20"/>
      <c r="E57" s="53"/>
      <c r="F57" s="53"/>
      <c r="G57" s="53"/>
      <c r="H57" s="53"/>
      <c r="I57" s="53"/>
      <c r="J57" s="53"/>
    </row>
    <row r="58" spans="1:10" ht="11.25">
      <c r="A58" s="20"/>
      <c r="B58" s="20"/>
      <c r="C58" s="20"/>
      <c r="D58" s="20"/>
      <c r="E58" s="53"/>
      <c r="F58" s="53"/>
      <c r="G58" s="53"/>
      <c r="H58" s="53"/>
      <c r="I58" s="53"/>
      <c r="J58" s="53"/>
    </row>
    <row r="59" spans="1:10" ht="11.25">
      <c r="A59" s="20"/>
      <c r="B59" s="20"/>
      <c r="C59" s="20"/>
      <c r="D59" s="20"/>
      <c r="E59" s="53"/>
      <c r="F59" s="53"/>
      <c r="G59" s="53"/>
      <c r="H59" s="53"/>
      <c r="I59" s="53"/>
      <c r="J59" s="53"/>
    </row>
    <row r="60" spans="1:10" ht="11.25">
      <c r="A60" s="20"/>
      <c r="B60" s="20"/>
      <c r="C60" s="20"/>
      <c r="D60" s="20"/>
      <c r="E60" s="53"/>
      <c r="F60" s="53"/>
      <c r="G60" s="53"/>
      <c r="H60" s="53"/>
      <c r="I60" s="53"/>
      <c r="J60" s="53"/>
    </row>
    <row r="61" spans="1:10" ht="11.25">
      <c r="A61" s="20"/>
      <c r="B61" s="20"/>
      <c r="C61" s="20"/>
      <c r="D61" s="20"/>
      <c r="E61" s="53"/>
      <c r="F61" s="53"/>
      <c r="G61" s="53"/>
      <c r="H61" s="53"/>
      <c r="I61" s="53"/>
      <c r="J61" s="53"/>
    </row>
    <row r="62" spans="1:10" ht="11.25">
      <c r="A62" s="20"/>
      <c r="B62" s="20"/>
      <c r="C62" s="20"/>
      <c r="D62" s="20"/>
      <c r="E62" s="53"/>
      <c r="F62" s="53"/>
      <c r="G62" s="53"/>
      <c r="H62" s="53"/>
      <c r="I62" s="53"/>
      <c r="J62" s="53"/>
    </row>
    <row r="63" spans="1:10" ht="11.25">
      <c r="A63" s="20"/>
      <c r="B63" s="20"/>
      <c r="C63" s="20"/>
      <c r="D63" s="20"/>
      <c r="E63" s="53"/>
      <c r="F63" s="53"/>
      <c r="G63" s="53"/>
      <c r="H63" s="53"/>
      <c r="I63" s="53"/>
      <c r="J63" s="53"/>
    </row>
    <row r="64" spans="1:10" ht="11.25">
      <c r="A64" s="20"/>
      <c r="B64" s="20"/>
      <c r="C64" s="20"/>
      <c r="D64" s="20"/>
      <c r="E64" s="53"/>
      <c r="F64" s="53"/>
      <c r="G64" s="53"/>
      <c r="H64" s="53"/>
      <c r="I64" s="53"/>
      <c r="J64" s="53"/>
    </row>
    <row r="65" spans="1:10" ht="11.25">
      <c r="A65" s="20"/>
      <c r="B65" s="20"/>
      <c r="C65" s="20"/>
      <c r="D65" s="20"/>
      <c r="E65" s="53"/>
      <c r="F65" s="53"/>
      <c r="G65" s="53"/>
      <c r="H65" s="53"/>
      <c r="I65" s="53"/>
      <c r="J65" s="53"/>
    </row>
    <row r="66" spans="1:10" ht="11.25">
      <c r="A66" s="20"/>
      <c r="B66" s="20"/>
      <c r="C66" s="20"/>
      <c r="D66" s="20"/>
      <c r="E66" s="53"/>
      <c r="F66" s="53"/>
      <c r="G66" s="53"/>
      <c r="H66" s="53"/>
      <c r="I66" s="53"/>
      <c r="J66" s="53"/>
    </row>
    <row r="67" spans="1:10" ht="11.25">
      <c r="A67" s="20"/>
      <c r="B67" s="20"/>
      <c r="C67" s="20"/>
      <c r="D67" s="20"/>
      <c r="E67" s="53"/>
      <c r="F67" s="53"/>
      <c r="G67" s="53"/>
      <c r="H67" s="53"/>
      <c r="I67" s="53"/>
      <c r="J67" s="53"/>
    </row>
    <row r="68" spans="1:10" ht="11.25">
      <c r="A68" s="20"/>
      <c r="B68" s="20"/>
      <c r="C68" s="20"/>
      <c r="D68" s="20"/>
      <c r="E68" s="53"/>
      <c r="F68" s="53"/>
      <c r="G68" s="53"/>
      <c r="H68" s="53"/>
      <c r="I68" s="53"/>
      <c r="J68" s="53"/>
    </row>
    <row r="69" spans="1:10" ht="11.25">
      <c r="A69" s="20"/>
      <c r="B69" s="20"/>
      <c r="C69" s="20"/>
      <c r="D69" s="20"/>
      <c r="E69" s="53"/>
      <c r="F69" s="53"/>
      <c r="G69" s="53"/>
      <c r="H69" s="53"/>
      <c r="I69" s="53"/>
      <c r="J69" s="53"/>
    </row>
    <row r="70" spans="1:10" ht="11.25">
      <c r="A70" s="20"/>
      <c r="B70" s="20"/>
      <c r="C70" s="20"/>
      <c r="D70" s="20"/>
      <c r="E70" s="53"/>
      <c r="F70" s="53"/>
      <c r="G70" s="53"/>
      <c r="H70" s="53"/>
      <c r="I70" s="53"/>
      <c r="J70" s="53"/>
    </row>
    <row r="71" spans="1:10" ht="11.25">
      <c r="A71" s="20"/>
      <c r="B71" s="20"/>
      <c r="C71" s="20"/>
      <c r="D71" s="20"/>
      <c r="E71" s="53"/>
      <c r="F71" s="53"/>
      <c r="G71" s="53"/>
      <c r="H71" s="53"/>
      <c r="I71" s="53"/>
      <c r="J71" s="53"/>
    </row>
    <row r="72" spans="1:10" ht="11.25">
      <c r="A72" s="20"/>
      <c r="B72" s="20"/>
      <c r="C72" s="20"/>
      <c r="D72" s="20"/>
      <c r="E72" s="53"/>
      <c r="F72" s="53"/>
      <c r="G72" s="53"/>
      <c r="H72" s="53"/>
      <c r="I72" s="53"/>
      <c r="J72" s="53"/>
    </row>
    <row r="73" spans="1:10" ht="11.25">
      <c r="A73" s="20"/>
      <c r="B73" s="20"/>
      <c r="C73" s="20"/>
      <c r="D73" s="20"/>
      <c r="E73" s="53"/>
      <c r="F73" s="53"/>
      <c r="G73" s="53"/>
      <c r="H73" s="53"/>
      <c r="I73" s="53"/>
      <c r="J73" s="53"/>
    </row>
    <row r="74" spans="1:10" ht="11.25">
      <c r="A74" s="20"/>
      <c r="B74" s="20"/>
      <c r="C74" s="20"/>
      <c r="D74" s="20"/>
      <c r="E74" s="53"/>
      <c r="F74" s="53"/>
      <c r="G74" s="53"/>
      <c r="H74" s="53"/>
      <c r="I74" s="53"/>
      <c r="J74" s="53"/>
    </row>
    <row r="75" spans="1:10" ht="11.25">
      <c r="A75" s="20"/>
      <c r="B75" s="20"/>
      <c r="C75" s="20"/>
      <c r="D75" s="20"/>
      <c r="E75" s="53"/>
      <c r="F75" s="53"/>
      <c r="G75" s="53"/>
      <c r="H75" s="53"/>
      <c r="I75" s="53"/>
      <c r="J75" s="53"/>
    </row>
    <row r="76" spans="1:10" ht="11.25">
      <c r="A76" s="20"/>
      <c r="B76" s="20"/>
      <c r="C76" s="20"/>
      <c r="D76" s="20"/>
      <c r="E76" s="53"/>
      <c r="F76" s="53"/>
      <c r="G76" s="53"/>
      <c r="H76" s="53"/>
      <c r="I76" s="53"/>
      <c r="J76" s="53"/>
    </row>
    <row r="77" spans="1:10" ht="11.25">
      <c r="A77" s="20"/>
      <c r="B77" s="20"/>
      <c r="C77" s="20"/>
      <c r="D77" s="20"/>
      <c r="E77" s="53"/>
      <c r="F77" s="53"/>
      <c r="G77" s="53"/>
      <c r="H77" s="53"/>
      <c r="I77" s="53"/>
      <c r="J77" s="53"/>
    </row>
    <row r="78" spans="1:10" ht="11.25">
      <c r="A78" s="20"/>
      <c r="B78" s="20"/>
      <c r="C78" s="20"/>
      <c r="D78" s="20"/>
      <c r="E78" s="53"/>
      <c r="F78" s="53"/>
      <c r="G78" s="53"/>
      <c r="H78" s="53"/>
      <c r="I78" s="53"/>
      <c r="J78" s="53"/>
    </row>
    <row r="79" spans="1:10" ht="11.25">
      <c r="A79" s="20"/>
      <c r="B79" s="20"/>
      <c r="C79" s="20"/>
      <c r="D79" s="20"/>
      <c r="E79" s="53"/>
      <c r="F79" s="53"/>
      <c r="G79" s="53"/>
      <c r="H79" s="53"/>
      <c r="I79" s="53"/>
      <c r="J79" s="53"/>
    </row>
    <row r="80" spans="1:10" ht="11.25">
      <c r="A80" s="20"/>
      <c r="B80" s="20"/>
      <c r="C80" s="20"/>
      <c r="D80" s="20"/>
      <c r="E80" s="53"/>
      <c r="F80" s="53"/>
      <c r="G80" s="53"/>
      <c r="H80" s="53"/>
      <c r="I80" s="53"/>
      <c r="J80" s="53"/>
    </row>
    <row r="81" spans="1:10" ht="11.25">
      <c r="A81" s="20"/>
      <c r="B81" s="20"/>
      <c r="C81" s="20"/>
      <c r="D81" s="20"/>
      <c r="E81" s="53"/>
      <c r="F81" s="53"/>
      <c r="G81" s="53"/>
      <c r="H81" s="53"/>
      <c r="I81" s="53"/>
      <c r="J81" s="53"/>
    </row>
    <row r="82" spans="1:10" ht="11.25">
      <c r="A82" s="20"/>
      <c r="B82" s="20"/>
      <c r="C82" s="20"/>
      <c r="D82" s="20"/>
      <c r="E82" s="53"/>
      <c r="F82" s="53"/>
      <c r="G82" s="53"/>
      <c r="H82" s="53"/>
      <c r="I82" s="53"/>
      <c r="J82" s="53"/>
    </row>
    <row r="83" spans="1:10" ht="11.25">
      <c r="A83" s="20"/>
      <c r="B83" s="20"/>
      <c r="C83" s="20"/>
      <c r="D83" s="20"/>
      <c r="E83" s="53"/>
      <c r="F83" s="53"/>
      <c r="G83" s="53"/>
      <c r="H83" s="53"/>
      <c r="I83" s="53"/>
      <c r="J83" s="53"/>
    </row>
    <row r="84" spans="1:10" ht="11.25">
      <c r="A84" s="20"/>
      <c r="B84" s="20"/>
      <c r="C84" s="20"/>
      <c r="D84" s="20"/>
      <c r="E84" s="53"/>
      <c r="F84" s="53"/>
      <c r="G84" s="53"/>
      <c r="H84" s="53"/>
      <c r="I84" s="53"/>
      <c r="J84" s="53"/>
    </row>
    <row r="85" spans="1:10" ht="11.25">
      <c r="A85" s="20"/>
      <c r="B85" s="20"/>
      <c r="C85" s="20"/>
      <c r="D85" s="20"/>
      <c r="E85" s="53"/>
      <c r="F85" s="53"/>
      <c r="G85" s="53"/>
      <c r="H85" s="53"/>
      <c r="I85" s="53"/>
      <c r="J85" s="53"/>
    </row>
    <row r="86" spans="1:10" ht="11.25">
      <c r="A86" s="20"/>
      <c r="B86" s="20"/>
      <c r="C86" s="20"/>
      <c r="D86" s="20"/>
      <c r="E86" s="53"/>
      <c r="F86" s="53"/>
      <c r="G86" s="53"/>
      <c r="H86" s="53"/>
      <c r="I86" s="53"/>
      <c r="J86" s="53"/>
    </row>
    <row r="87" spans="1:10" ht="11.25">
      <c r="A87" s="20"/>
      <c r="B87" s="20"/>
      <c r="C87" s="20"/>
      <c r="D87" s="20"/>
      <c r="E87" s="53"/>
      <c r="F87" s="53"/>
      <c r="G87" s="53"/>
      <c r="H87" s="53"/>
      <c r="I87" s="53"/>
      <c r="J87" s="53"/>
    </row>
    <row r="88" spans="1:10" ht="11.25">
      <c r="A88" s="20"/>
      <c r="B88" s="20"/>
      <c r="C88" s="20"/>
      <c r="D88" s="20"/>
      <c r="E88" s="53"/>
      <c r="F88" s="53"/>
      <c r="G88" s="53"/>
      <c r="H88" s="53"/>
      <c r="I88" s="53"/>
      <c r="J88" s="53"/>
    </row>
    <row r="89" spans="1:10" ht="11.25">
      <c r="A89" s="20"/>
      <c r="B89" s="20"/>
      <c r="C89" s="20"/>
      <c r="D89" s="20"/>
      <c r="E89" s="53"/>
      <c r="F89" s="53"/>
      <c r="G89" s="53"/>
      <c r="H89" s="53"/>
      <c r="I89" s="53"/>
      <c r="J89" s="53"/>
    </row>
    <row r="90" spans="1:10" ht="11.25">
      <c r="A90" s="20"/>
      <c r="B90" s="20"/>
      <c r="C90" s="20"/>
      <c r="D90" s="20"/>
      <c r="E90" s="53"/>
      <c r="F90" s="53"/>
      <c r="G90" s="53"/>
      <c r="H90" s="53"/>
      <c r="I90" s="53"/>
      <c r="J90" s="53"/>
    </row>
    <row r="91" spans="1:10" ht="11.25">
      <c r="A91" s="20"/>
      <c r="B91" s="20"/>
      <c r="C91" s="20"/>
      <c r="D91" s="20"/>
      <c r="E91" s="53"/>
      <c r="F91" s="53"/>
      <c r="G91" s="53"/>
      <c r="H91" s="53"/>
      <c r="I91" s="53"/>
      <c r="J91" s="53"/>
    </row>
    <row r="92" spans="1:10" ht="11.25">
      <c r="A92" s="20"/>
      <c r="B92" s="20"/>
      <c r="C92" s="20"/>
      <c r="D92" s="20"/>
      <c r="E92" s="54"/>
      <c r="F92" s="54"/>
      <c r="G92" s="54"/>
      <c r="H92" s="53"/>
      <c r="I92" s="53"/>
      <c r="J92" s="53"/>
    </row>
    <row r="93" spans="1:10" ht="11.25">
      <c r="A93" s="20"/>
      <c r="B93" s="20"/>
      <c r="C93" s="20"/>
      <c r="D93" s="20"/>
      <c r="E93" s="20"/>
      <c r="F93" s="20"/>
      <c r="G93" s="20"/>
      <c r="H93" s="20"/>
      <c r="I93" s="20"/>
      <c r="J93" s="20"/>
    </row>
  </sheetData>
  <printOptions/>
  <pageMargins left="0.59" right="0.74" top="0.74" bottom="0.41" header="0.27" footer="0.1574803149606299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workbookViewId="0" topLeftCell="A1">
      <pane xSplit="3" ySplit="4" topLeftCell="L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9.375" style="9" customWidth="1"/>
    <col min="2" max="2" width="8.375" style="9" customWidth="1"/>
    <col min="3" max="3" width="5.125" style="9" customWidth="1"/>
    <col min="4" max="4" width="7.00390625" style="9" customWidth="1"/>
    <col min="5" max="5" width="7.625" style="9" customWidth="1"/>
    <col min="6" max="6" width="6.00390625" style="9" customWidth="1"/>
    <col min="7" max="7" width="7.75390625" style="77" customWidth="1"/>
    <col min="8" max="8" width="6.25390625" style="9" customWidth="1"/>
    <col min="9" max="9" width="6.875" style="9" customWidth="1"/>
    <col min="10" max="10" width="6.125" style="9" customWidth="1"/>
    <col min="11" max="11" width="6.00390625" style="9" customWidth="1"/>
    <col min="12" max="14" width="6.625" style="9" customWidth="1"/>
    <col min="15" max="15" width="5.625" style="9" customWidth="1"/>
    <col min="16" max="16" width="5.375" style="9" customWidth="1"/>
    <col min="17" max="20" width="5.875" style="9" customWidth="1"/>
    <col min="21" max="21" width="5.75390625" style="9" customWidth="1"/>
    <col min="22" max="22" width="7.125" style="9" customWidth="1"/>
    <col min="23" max="23" width="6.125" style="9" customWidth="1"/>
    <col min="24" max="24" width="6.125" style="9" hidden="1" customWidth="1"/>
    <col min="25" max="25" width="8.625" style="9" hidden="1" customWidth="1"/>
    <col min="26" max="16384" width="9.125" style="9" customWidth="1"/>
  </cols>
  <sheetData>
    <row r="1" ht="12">
      <c r="W1" s="161" t="s">
        <v>137</v>
      </c>
    </row>
    <row r="2" spans="2:21" ht="15.75">
      <c r="B2" s="75" t="s">
        <v>81</v>
      </c>
      <c r="E2" s="76"/>
      <c r="F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4" spans="1:25" s="80" customFormat="1" ht="33.75">
      <c r="A4" s="41" t="s">
        <v>0</v>
      </c>
      <c r="B4" s="41" t="s">
        <v>114</v>
      </c>
      <c r="C4" s="41" t="s">
        <v>14</v>
      </c>
      <c r="D4" s="41" t="s">
        <v>15</v>
      </c>
      <c r="E4" s="41" t="s">
        <v>1</v>
      </c>
      <c r="F4" s="41" t="s">
        <v>6</v>
      </c>
      <c r="G4" s="41" t="s">
        <v>16</v>
      </c>
      <c r="H4" s="41" t="s">
        <v>3</v>
      </c>
      <c r="I4" s="78" t="s">
        <v>17</v>
      </c>
      <c r="J4" s="78" t="s">
        <v>18</v>
      </c>
      <c r="K4" s="78" t="s">
        <v>26</v>
      </c>
      <c r="L4" s="41" t="s">
        <v>8</v>
      </c>
      <c r="M4" s="41" t="s">
        <v>19</v>
      </c>
      <c r="N4" s="41" t="s">
        <v>9</v>
      </c>
      <c r="O4" s="41" t="s">
        <v>10</v>
      </c>
      <c r="P4" s="41" t="s">
        <v>12</v>
      </c>
      <c r="Q4" s="41" t="s">
        <v>11</v>
      </c>
      <c r="R4" s="41" t="s">
        <v>128</v>
      </c>
      <c r="S4" s="41" t="s">
        <v>123</v>
      </c>
      <c r="T4" s="41" t="s">
        <v>124</v>
      </c>
      <c r="U4" s="41" t="s">
        <v>20</v>
      </c>
      <c r="V4" s="79" t="s">
        <v>7</v>
      </c>
      <c r="W4" s="79" t="s">
        <v>125</v>
      </c>
      <c r="X4" s="79"/>
      <c r="Y4" s="79" t="s">
        <v>60</v>
      </c>
    </row>
    <row r="5" spans="1:25" ht="12">
      <c r="A5" s="38" t="s">
        <v>86</v>
      </c>
      <c r="B5" s="81">
        <v>10</v>
      </c>
      <c r="C5" s="35">
        <v>62</v>
      </c>
      <c r="D5" s="25">
        <f aca="true" t="shared" si="0" ref="D5:D27">E5/C5/12</f>
        <v>276</v>
      </c>
      <c r="E5" s="26">
        <f aca="true" t="shared" si="1" ref="E5:E10">SUM(F5:X5)</f>
        <v>205634</v>
      </c>
      <c r="F5" s="66">
        <v>500</v>
      </c>
      <c r="G5" s="66">
        <v>120382</v>
      </c>
      <c r="H5" s="25">
        <v>9812</v>
      </c>
      <c r="I5" s="25">
        <v>23183</v>
      </c>
      <c r="J5" s="25">
        <v>3218</v>
      </c>
      <c r="K5" s="25"/>
      <c r="L5" s="25">
        <v>2108</v>
      </c>
      <c r="M5" s="25">
        <v>600</v>
      </c>
      <c r="N5" s="25">
        <v>34896</v>
      </c>
      <c r="O5" s="25"/>
      <c r="P5" s="25"/>
      <c r="Q5" s="25">
        <v>2000</v>
      </c>
      <c r="R5" s="25"/>
      <c r="S5" s="25"/>
      <c r="T5" s="25"/>
      <c r="U5" s="25"/>
      <c r="V5" s="35">
        <v>8935</v>
      </c>
      <c r="W5" s="35"/>
      <c r="X5" s="35"/>
      <c r="Y5" s="25">
        <f>F5+L5+M5+O5+P5+Q5+K5+U5+W5+T5+S5+R5</f>
        <v>5208</v>
      </c>
    </row>
    <row r="6" spans="1:25" ht="12">
      <c r="A6" s="38" t="s">
        <v>87</v>
      </c>
      <c r="B6" s="81">
        <v>11</v>
      </c>
      <c r="C6" s="35">
        <v>26</v>
      </c>
      <c r="D6" s="25">
        <f t="shared" si="0"/>
        <v>149</v>
      </c>
      <c r="E6" s="26">
        <f t="shared" si="1"/>
        <v>46516</v>
      </c>
      <c r="F6" s="66"/>
      <c r="G6" s="66">
        <v>32055</v>
      </c>
      <c r="H6" s="25">
        <v>2660</v>
      </c>
      <c r="I6" s="25">
        <v>6187</v>
      </c>
      <c r="J6" s="25">
        <v>859</v>
      </c>
      <c r="K6" s="25"/>
      <c r="L6" s="25">
        <v>2296</v>
      </c>
      <c r="M6" s="25"/>
      <c r="N6" s="25"/>
      <c r="O6" s="25"/>
      <c r="P6" s="25"/>
      <c r="Q6" s="25"/>
      <c r="R6" s="25"/>
      <c r="S6" s="25"/>
      <c r="T6" s="25"/>
      <c r="U6" s="25"/>
      <c r="V6" s="35">
        <v>2259</v>
      </c>
      <c r="W6" s="35">
        <v>200</v>
      </c>
      <c r="X6" s="35"/>
      <c r="Y6" s="25">
        <f aca="true" t="shared" si="2" ref="Y6:Y26">F6+L6+M6+O6+P6+Q6+K6+U6+W6+T6+S6+R6</f>
        <v>2496</v>
      </c>
    </row>
    <row r="7" spans="1:25" ht="12">
      <c r="A7" s="38" t="s">
        <v>88</v>
      </c>
      <c r="B7" s="81">
        <v>12</v>
      </c>
      <c r="C7" s="35">
        <v>67</v>
      </c>
      <c r="D7" s="25">
        <f t="shared" si="0"/>
        <v>132</v>
      </c>
      <c r="E7" s="26">
        <f t="shared" si="1"/>
        <v>106346</v>
      </c>
      <c r="F7" s="66">
        <v>100</v>
      </c>
      <c r="G7" s="66">
        <v>69909</v>
      </c>
      <c r="H7" s="25">
        <v>5290</v>
      </c>
      <c r="I7" s="25">
        <v>13422</v>
      </c>
      <c r="J7" s="25">
        <v>1863</v>
      </c>
      <c r="K7" s="25"/>
      <c r="L7" s="25">
        <v>2924</v>
      </c>
      <c r="M7" s="25">
        <v>500</v>
      </c>
      <c r="N7" s="25">
        <v>4888</v>
      </c>
      <c r="O7" s="25"/>
      <c r="P7" s="25"/>
      <c r="Q7" s="25">
        <v>1300</v>
      </c>
      <c r="R7" s="25"/>
      <c r="S7" s="25"/>
      <c r="T7" s="25"/>
      <c r="U7" s="25"/>
      <c r="V7" s="35">
        <v>6150</v>
      </c>
      <c r="W7" s="35"/>
      <c r="X7" s="35"/>
      <c r="Y7" s="25">
        <f t="shared" si="2"/>
        <v>4824</v>
      </c>
    </row>
    <row r="8" spans="1:25" ht="12">
      <c r="A8" s="38" t="s">
        <v>89</v>
      </c>
      <c r="B8" s="81">
        <v>13</v>
      </c>
      <c r="C8" s="35">
        <v>40</v>
      </c>
      <c r="D8" s="25">
        <f>E8/C8/12</f>
        <v>186</v>
      </c>
      <c r="E8" s="26">
        <f t="shared" si="1"/>
        <v>89290</v>
      </c>
      <c r="F8" s="66"/>
      <c r="G8" s="66">
        <v>60660</v>
      </c>
      <c r="H8" s="25">
        <v>3129</v>
      </c>
      <c r="I8" s="25">
        <v>11386</v>
      </c>
      <c r="J8" s="25">
        <v>1581</v>
      </c>
      <c r="K8" s="25"/>
      <c r="L8" s="25">
        <v>1240</v>
      </c>
      <c r="M8" s="25">
        <v>1100</v>
      </c>
      <c r="N8" s="25">
        <v>4624</v>
      </c>
      <c r="O8" s="25"/>
      <c r="P8" s="25"/>
      <c r="Q8" s="25">
        <v>1000</v>
      </c>
      <c r="R8" s="25"/>
      <c r="S8" s="25"/>
      <c r="T8" s="25">
        <v>500</v>
      </c>
      <c r="U8" s="25"/>
      <c r="V8" s="35">
        <v>4070</v>
      </c>
      <c r="W8" s="35"/>
      <c r="X8" s="35"/>
      <c r="Y8" s="25">
        <f t="shared" si="2"/>
        <v>3840</v>
      </c>
    </row>
    <row r="9" spans="1:25" ht="12">
      <c r="A9" s="38" t="s">
        <v>91</v>
      </c>
      <c r="B9" s="81">
        <v>16</v>
      </c>
      <c r="C9" s="35">
        <v>50</v>
      </c>
      <c r="D9" s="25">
        <f>E9/C9/12</f>
        <v>140</v>
      </c>
      <c r="E9" s="26">
        <f t="shared" si="1"/>
        <v>83779</v>
      </c>
      <c r="F9" s="66"/>
      <c r="G9" s="66">
        <v>57131</v>
      </c>
      <c r="H9" s="25">
        <v>2626</v>
      </c>
      <c r="I9" s="25">
        <v>10671</v>
      </c>
      <c r="J9" s="25">
        <v>1481</v>
      </c>
      <c r="K9" s="25"/>
      <c r="L9" s="25">
        <v>1000</v>
      </c>
      <c r="M9" s="25">
        <v>1000</v>
      </c>
      <c r="N9" s="25">
        <v>3000</v>
      </c>
      <c r="O9" s="25">
        <v>600</v>
      </c>
      <c r="P9" s="25"/>
      <c r="Q9" s="25">
        <v>2200</v>
      </c>
      <c r="R9" s="25"/>
      <c r="S9" s="25"/>
      <c r="T9" s="25"/>
      <c r="U9" s="25"/>
      <c r="V9" s="35">
        <v>4070</v>
      </c>
      <c r="W9" s="35"/>
      <c r="X9" s="35"/>
      <c r="Y9" s="25">
        <f t="shared" si="2"/>
        <v>4800</v>
      </c>
    </row>
    <row r="10" spans="1:25" ht="12">
      <c r="A10" s="38" t="s">
        <v>92</v>
      </c>
      <c r="B10" s="81">
        <v>17</v>
      </c>
      <c r="C10" s="35">
        <v>61</v>
      </c>
      <c r="D10" s="25">
        <f>E10/C10/12</f>
        <v>167</v>
      </c>
      <c r="E10" s="26">
        <f t="shared" si="1"/>
        <v>122017</v>
      </c>
      <c r="F10" s="66"/>
      <c r="G10" s="66">
        <v>82095</v>
      </c>
      <c r="H10" s="25">
        <v>4910</v>
      </c>
      <c r="I10" s="25">
        <v>15545</v>
      </c>
      <c r="J10" s="25">
        <v>2158</v>
      </c>
      <c r="K10" s="25"/>
      <c r="L10" s="25">
        <v>2324</v>
      </c>
      <c r="M10" s="25">
        <v>700</v>
      </c>
      <c r="N10" s="25">
        <v>6080</v>
      </c>
      <c r="O10" s="25"/>
      <c r="P10" s="25">
        <v>200</v>
      </c>
      <c r="Q10" s="25">
        <v>800</v>
      </c>
      <c r="R10" s="25"/>
      <c r="S10" s="25">
        <v>120</v>
      </c>
      <c r="T10" s="25">
        <v>380</v>
      </c>
      <c r="U10" s="25"/>
      <c r="V10" s="35">
        <v>6105</v>
      </c>
      <c r="W10" s="35">
        <v>600</v>
      </c>
      <c r="X10" s="35"/>
      <c r="Y10" s="25">
        <f t="shared" si="2"/>
        <v>5124</v>
      </c>
    </row>
    <row r="11" spans="1:25" ht="12">
      <c r="A11" s="38" t="s">
        <v>94</v>
      </c>
      <c r="B11" s="81">
        <v>20</v>
      </c>
      <c r="C11" s="35">
        <v>45</v>
      </c>
      <c r="D11" s="25">
        <f t="shared" si="0"/>
        <v>135</v>
      </c>
      <c r="E11" s="26">
        <f aca="true" t="shared" si="3" ref="E11:E26">SUM(F11:X11)</f>
        <v>72742</v>
      </c>
      <c r="F11" s="66">
        <v>500</v>
      </c>
      <c r="G11" s="66">
        <v>45650</v>
      </c>
      <c r="H11" s="25">
        <v>5070</v>
      </c>
      <c r="I11" s="25">
        <v>9064</v>
      </c>
      <c r="J11" s="25">
        <v>1258</v>
      </c>
      <c r="K11" s="25">
        <v>500</v>
      </c>
      <c r="L11" s="25">
        <v>1300</v>
      </c>
      <c r="M11" s="25">
        <v>500</v>
      </c>
      <c r="N11" s="25">
        <v>3350</v>
      </c>
      <c r="O11" s="25">
        <v>780</v>
      </c>
      <c r="P11" s="25"/>
      <c r="Q11" s="25">
        <v>700</v>
      </c>
      <c r="R11" s="25"/>
      <c r="S11" s="25"/>
      <c r="T11" s="25"/>
      <c r="U11" s="25"/>
      <c r="V11" s="35">
        <v>4070</v>
      </c>
      <c r="W11" s="35"/>
      <c r="X11" s="35"/>
      <c r="Y11" s="25">
        <f t="shared" si="2"/>
        <v>4280</v>
      </c>
    </row>
    <row r="12" spans="1:25" ht="12">
      <c r="A12" s="38" t="s">
        <v>95</v>
      </c>
      <c r="B12" s="81">
        <v>21</v>
      </c>
      <c r="C12" s="35">
        <v>28</v>
      </c>
      <c r="D12" s="25">
        <f t="shared" si="0"/>
        <v>136</v>
      </c>
      <c r="E12" s="26">
        <f t="shared" si="3"/>
        <v>45706</v>
      </c>
      <c r="F12" s="66">
        <v>50</v>
      </c>
      <c r="G12" s="66">
        <v>28992</v>
      </c>
      <c r="H12" s="25">
        <v>3700</v>
      </c>
      <c r="I12" s="25">
        <v>5258</v>
      </c>
      <c r="J12" s="25">
        <v>808</v>
      </c>
      <c r="K12" s="25"/>
      <c r="L12" s="25">
        <v>1500</v>
      </c>
      <c r="M12" s="25">
        <v>300</v>
      </c>
      <c r="N12" s="25">
        <v>2225</v>
      </c>
      <c r="O12" s="25">
        <v>500</v>
      </c>
      <c r="P12" s="25">
        <v>50</v>
      </c>
      <c r="Q12" s="25">
        <v>100</v>
      </c>
      <c r="R12" s="25">
        <v>50</v>
      </c>
      <c r="S12" s="25"/>
      <c r="T12" s="25">
        <v>88</v>
      </c>
      <c r="U12" s="25"/>
      <c r="V12" s="35">
        <v>2035</v>
      </c>
      <c r="W12" s="35">
        <v>50</v>
      </c>
      <c r="X12" s="35"/>
      <c r="Y12" s="25">
        <f t="shared" si="2"/>
        <v>2688</v>
      </c>
    </row>
    <row r="13" spans="1:25" ht="12">
      <c r="A13" s="38" t="s">
        <v>96</v>
      </c>
      <c r="B13" s="81">
        <v>23</v>
      </c>
      <c r="C13" s="35">
        <v>47</v>
      </c>
      <c r="D13" s="25">
        <f t="shared" si="0"/>
        <v>169</v>
      </c>
      <c r="E13" s="26">
        <f t="shared" si="3"/>
        <v>95133</v>
      </c>
      <c r="F13" s="66">
        <v>100</v>
      </c>
      <c r="G13" s="66">
        <v>65388</v>
      </c>
      <c r="H13" s="25">
        <v>4808</v>
      </c>
      <c r="I13" s="25">
        <v>12243</v>
      </c>
      <c r="J13" s="25">
        <v>1699</v>
      </c>
      <c r="K13" s="25"/>
      <c r="L13" s="25">
        <v>1800</v>
      </c>
      <c r="M13" s="25">
        <v>1300</v>
      </c>
      <c r="N13" s="25">
        <v>2230</v>
      </c>
      <c r="O13" s="25"/>
      <c r="P13" s="25">
        <v>100</v>
      </c>
      <c r="Q13" s="25">
        <v>912</v>
      </c>
      <c r="R13" s="25"/>
      <c r="S13" s="25"/>
      <c r="T13" s="25">
        <v>300</v>
      </c>
      <c r="U13" s="25"/>
      <c r="V13" s="35">
        <v>4253</v>
      </c>
      <c r="W13" s="35"/>
      <c r="X13" s="35"/>
      <c r="Y13" s="25">
        <f t="shared" si="2"/>
        <v>4512</v>
      </c>
    </row>
    <row r="14" spans="1:25" ht="12">
      <c r="A14" s="38" t="s">
        <v>116</v>
      </c>
      <c r="B14" s="81">
        <v>26</v>
      </c>
      <c r="C14" s="35">
        <v>40</v>
      </c>
      <c r="D14" s="25">
        <f t="shared" si="0"/>
        <v>192</v>
      </c>
      <c r="E14" s="26">
        <f t="shared" si="3"/>
        <v>92082</v>
      </c>
      <c r="F14" s="66">
        <v>100</v>
      </c>
      <c r="G14" s="66">
        <v>63547</v>
      </c>
      <c r="H14" s="25">
        <v>4998</v>
      </c>
      <c r="I14" s="25">
        <v>12234</v>
      </c>
      <c r="J14" s="25">
        <v>1698</v>
      </c>
      <c r="K14" s="25"/>
      <c r="L14" s="25">
        <v>2560</v>
      </c>
      <c r="M14" s="25">
        <v>200</v>
      </c>
      <c r="N14" s="25">
        <v>1695</v>
      </c>
      <c r="O14" s="25"/>
      <c r="P14" s="25">
        <v>180</v>
      </c>
      <c r="Q14" s="25">
        <v>500</v>
      </c>
      <c r="R14" s="25"/>
      <c r="S14" s="25"/>
      <c r="T14" s="25">
        <v>300</v>
      </c>
      <c r="U14" s="25"/>
      <c r="V14" s="35">
        <v>4070</v>
      </c>
      <c r="W14" s="35"/>
      <c r="X14" s="35"/>
      <c r="Y14" s="25">
        <f t="shared" si="2"/>
        <v>3840</v>
      </c>
    </row>
    <row r="15" spans="1:25" ht="12">
      <c r="A15" s="38" t="s">
        <v>99</v>
      </c>
      <c r="B15" s="81">
        <v>29</v>
      </c>
      <c r="C15" s="35">
        <v>54</v>
      </c>
      <c r="D15" s="25">
        <f t="shared" si="0"/>
        <v>165</v>
      </c>
      <c r="E15" s="26">
        <f t="shared" si="3"/>
        <v>106857</v>
      </c>
      <c r="F15" s="66">
        <v>300</v>
      </c>
      <c r="G15" s="66">
        <v>70635</v>
      </c>
      <c r="H15" s="25">
        <v>5545</v>
      </c>
      <c r="I15" s="25">
        <v>13173</v>
      </c>
      <c r="J15" s="25">
        <v>1829</v>
      </c>
      <c r="K15" s="25"/>
      <c r="L15" s="25">
        <v>1984</v>
      </c>
      <c r="M15" s="25">
        <v>300</v>
      </c>
      <c r="N15" s="25">
        <v>5825</v>
      </c>
      <c r="O15" s="25">
        <v>300</v>
      </c>
      <c r="P15" s="25"/>
      <c r="Q15" s="25">
        <v>2100</v>
      </c>
      <c r="R15" s="25"/>
      <c r="S15" s="25"/>
      <c r="T15" s="25"/>
      <c r="U15" s="25">
        <v>200</v>
      </c>
      <c r="V15" s="35">
        <v>4666</v>
      </c>
      <c r="W15" s="35"/>
      <c r="X15" s="35"/>
      <c r="Y15" s="25">
        <f t="shared" si="2"/>
        <v>5184</v>
      </c>
    </row>
    <row r="16" spans="1:25" ht="12">
      <c r="A16" s="38" t="s">
        <v>100</v>
      </c>
      <c r="B16" s="81">
        <v>31</v>
      </c>
      <c r="C16" s="35">
        <v>88</v>
      </c>
      <c r="D16" s="25">
        <f t="shared" si="0"/>
        <v>169</v>
      </c>
      <c r="E16" s="26">
        <f t="shared" si="3"/>
        <v>178606</v>
      </c>
      <c r="F16" s="66"/>
      <c r="G16" s="66">
        <v>103818</v>
      </c>
      <c r="H16" s="25">
        <v>8798</v>
      </c>
      <c r="I16" s="25">
        <v>20143</v>
      </c>
      <c r="J16" s="25">
        <v>2796</v>
      </c>
      <c r="K16" s="25"/>
      <c r="L16" s="25">
        <f>4500-2220</f>
        <v>2280</v>
      </c>
      <c r="M16" s="25">
        <f>3500-1500</f>
        <v>2000</v>
      </c>
      <c r="N16" s="25">
        <v>28065</v>
      </c>
      <c r="O16" s="25">
        <f>1800-600</f>
        <v>1200</v>
      </c>
      <c r="P16" s="25"/>
      <c r="Q16" s="25">
        <v>1000</v>
      </c>
      <c r="R16" s="25"/>
      <c r="S16" s="25"/>
      <c r="T16" s="25"/>
      <c r="U16" s="25"/>
      <c r="V16" s="35">
        <v>8506</v>
      </c>
      <c r="W16" s="35"/>
      <c r="X16" s="35"/>
      <c r="Y16" s="25">
        <f t="shared" si="2"/>
        <v>6480</v>
      </c>
    </row>
    <row r="17" spans="1:25" ht="12">
      <c r="A17" s="38" t="s">
        <v>102</v>
      </c>
      <c r="B17" s="81">
        <v>34</v>
      </c>
      <c r="C17" s="35">
        <v>40</v>
      </c>
      <c r="D17" s="25">
        <f t="shared" si="0"/>
        <v>250</v>
      </c>
      <c r="E17" s="26">
        <f t="shared" si="3"/>
        <v>120122</v>
      </c>
      <c r="F17" s="66"/>
      <c r="G17" s="66">
        <v>77497</v>
      </c>
      <c r="H17" s="25">
        <v>6557</v>
      </c>
      <c r="I17" s="25">
        <v>14773</v>
      </c>
      <c r="J17" s="25">
        <v>2051</v>
      </c>
      <c r="K17" s="25"/>
      <c r="L17" s="25">
        <v>2200</v>
      </c>
      <c r="M17" s="25">
        <v>300</v>
      </c>
      <c r="N17" s="25">
        <v>8156</v>
      </c>
      <c r="O17" s="25"/>
      <c r="P17" s="25"/>
      <c r="Q17" s="25">
        <v>1300</v>
      </c>
      <c r="R17" s="25"/>
      <c r="S17" s="25"/>
      <c r="T17" s="25">
        <v>1000</v>
      </c>
      <c r="U17" s="25"/>
      <c r="V17" s="35">
        <v>6288</v>
      </c>
      <c r="W17" s="35"/>
      <c r="X17" s="35"/>
      <c r="Y17" s="25">
        <f t="shared" si="2"/>
        <v>4800</v>
      </c>
    </row>
    <row r="18" spans="1:25" ht="12">
      <c r="A18" s="38" t="s">
        <v>103</v>
      </c>
      <c r="B18" s="81">
        <v>35</v>
      </c>
      <c r="C18" s="35">
        <v>47</v>
      </c>
      <c r="D18" s="25">
        <f t="shared" si="0"/>
        <v>156</v>
      </c>
      <c r="E18" s="26">
        <f t="shared" si="3"/>
        <v>88248</v>
      </c>
      <c r="F18" s="66"/>
      <c r="G18" s="66">
        <v>59360</v>
      </c>
      <c r="H18" s="25">
        <v>5013</v>
      </c>
      <c r="I18" s="25">
        <v>11486</v>
      </c>
      <c r="J18" s="25">
        <v>1594</v>
      </c>
      <c r="K18" s="25"/>
      <c r="L18" s="25">
        <v>2000</v>
      </c>
      <c r="M18" s="25">
        <v>1252</v>
      </c>
      <c r="N18" s="25">
        <v>2030</v>
      </c>
      <c r="O18" s="25"/>
      <c r="P18" s="25">
        <v>160</v>
      </c>
      <c r="Q18" s="25">
        <v>500</v>
      </c>
      <c r="R18" s="25"/>
      <c r="S18" s="25"/>
      <c r="T18" s="25">
        <v>600</v>
      </c>
      <c r="U18" s="25"/>
      <c r="V18" s="35">
        <v>4253</v>
      </c>
      <c r="W18" s="35"/>
      <c r="X18" s="35"/>
      <c r="Y18" s="25">
        <f t="shared" si="2"/>
        <v>4512</v>
      </c>
    </row>
    <row r="19" spans="1:25" ht="12">
      <c r="A19" s="38" t="s">
        <v>72</v>
      </c>
      <c r="B19" s="81">
        <v>37</v>
      </c>
      <c r="C19" s="35">
        <v>15</v>
      </c>
      <c r="D19" s="25">
        <f t="shared" si="0"/>
        <v>261</v>
      </c>
      <c r="E19" s="26">
        <f t="shared" si="3"/>
        <v>46930</v>
      </c>
      <c r="F19" s="66">
        <v>80</v>
      </c>
      <c r="G19" s="66">
        <v>31100</v>
      </c>
      <c r="H19" s="25">
        <v>2628</v>
      </c>
      <c r="I19" s="25">
        <v>6036</v>
      </c>
      <c r="J19" s="25">
        <v>838</v>
      </c>
      <c r="K19" s="25"/>
      <c r="L19" s="25">
        <v>420</v>
      </c>
      <c r="M19" s="25">
        <v>300</v>
      </c>
      <c r="N19" s="25">
        <v>2493</v>
      </c>
      <c r="O19" s="25"/>
      <c r="P19" s="25"/>
      <c r="Q19" s="25">
        <v>1000</v>
      </c>
      <c r="R19" s="25"/>
      <c r="S19" s="25"/>
      <c r="T19" s="25"/>
      <c r="U19" s="25"/>
      <c r="V19" s="35">
        <v>2035</v>
      </c>
      <c r="W19" s="35"/>
      <c r="X19" s="35"/>
      <c r="Y19" s="25">
        <f t="shared" si="2"/>
        <v>1800</v>
      </c>
    </row>
    <row r="20" spans="1:25" ht="12">
      <c r="A20" s="38" t="s">
        <v>105</v>
      </c>
      <c r="B20" s="81">
        <v>40</v>
      </c>
      <c r="C20" s="35">
        <v>102</v>
      </c>
      <c r="D20" s="25">
        <f t="shared" si="0"/>
        <v>165</v>
      </c>
      <c r="E20" s="26">
        <f>SUM(F20:X20)</f>
        <v>201854</v>
      </c>
      <c r="F20" s="66">
        <v>65</v>
      </c>
      <c r="G20" s="66">
        <v>135360</v>
      </c>
      <c r="H20" s="25">
        <v>9452</v>
      </c>
      <c r="I20" s="25">
        <v>25912</v>
      </c>
      <c r="J20" s="25">
        <v>3597</v>
      </c>
      <c r="K20" s="25"/>
      <c r="L20" s="25">
        <v>3799</v>
      </c>
      <c r="M20" s="25">
        <v>500</v>
      </c>
      <c r="N20" s="25">
        <v>11651</v>
      </c>
      <c r="O20" s="25">
        <v>800</v>
      </c>
      <c r="P20" s="25">
        <v>140</v>
      </c>
      <c r="Q20" s="25">
        <v>1220</v>
      </c>
      <c r="R20" s="25">
        <v>60</v>
      </c>
      <c r="S20" s="25"/>
      <c r="T20" s="25">
        <v>760</v>
      </c>
      <c r="U20" s="25"/>
      <c r="V20" s="35">
        <v>8538</v>
      </c>
      <c r="W20" s="35"/>
      <c r="X20" s="35"/>
      <c r="Y20" s="25">
        <f t="shared" si="2"/>
        <v>7344</v>
      </c>
    </row>
    <row r="21" spans="1:25" ht="12">
      <c r="A21" s="38" t="s">
        <v>106</v>
      </c>
      <c r="B21" s="81">
        <v>42</v>
      </c>
      <c r="C21" s="35">
        <v>42</v>
      </c>
      <c r="D21" s="25">
        <f t="shared" si="0"/>
        <v>163</v>
      </c>
      <c r="E21" s="26">
        <f t="shared" si="3"/>
        <v>82339</v>
      </c>
      <c r="F21" s="66"/>
      <c r="G21" s="66">
        <v>54587</v>
      </c>
      <c r="H21" s="25">
        <v>4154</v>
      </c>
      <c r="I21" s="25">
        <v>10549</v>
      </c>
      <c r="J21" s="25">
        <v>1464</v>
      </c>
      <c r="K21" s="25"/>
      <c r="L21" s="25">
        <v>1500</v>
      </c>
      <c r="M21" s="25">
        <v>424</v>
      </c>
      <c r="N21" s="25">
        <v>4491</v>
      </c>
      <c r="O21" s="25"/>
      <c r="P21" s="25"/>
      <c r="Q21" s="25">
        <v>1100</v>
      </c>
      <c r="R21" s="25"/>
      <c r="S21" s="25"/>
      <c r="T21" s="25"/>
      <c r="U21" s="25"/>
      <c r="V21" s="35">
        <v>4070</v>
      </c>
      <c r="W21" s="35"/>
      <c r="X21" s="35"/>
      <c r="Y21" s="25">
        <f t="shared" si="2"/>
        <v>3024</v>
      </c>
    </row>
    <row r="22" spans="1:25" ht="12">
      <c r="A22" s="38" t="s">
        <v>107</v>
      </c>
      <c r="B22" s="81">
        <v>43</v>
      </c>
      <c r="C22" s="35">
        <v>52</v>
      </c>
      <c r="D22" s="25">
        <f t="shared" si="0"/>
        <v>158</v>
      </c>
      <c r="E22" s="26">
        <f t="shared" si="3"/>
        <v>98675</v>
      </c>
      <c r="F22" s="66">
        <v>500</v>
      </c>
      <c r="G22" s="66">
        <v>63080</v>
      </c>
      <c r="H22" s="25">
        <v>5066</v>
      </c>
      <c r="I22" s="25">
        <v>12161</v>
      </c>
      <c r="J22" s="25">
        <v>1688</v>
      </c>
      <c r="K22" s="25"/>
      <c r="L22" s="25">
        <f>3000-1360</f>
        <v>1640</v>
      </c>
      <c r="M22" s="25">
        <f>1000-500</f>
        <v>500</v>
      </c>
      <c r="N22" s="25">
        <v>8730</v>
      </c>
      <c r="O22" s="25">
        <f>500-200</f>
        <v>300</v>
      </c>
      <c r="P22" s="25"/>
      <c r="Q22" s="25">
        <f>1150-300</f>
        <v>850</v>
      </c>
      <c r="R22" s="25"/>
      <c r="S22" s="25"/>
      <c r="T22" s="25"/>
      <c r="U22" s="25">
        <v>90</v>
      </c>
      <c r="V22" s="35">
        <v>4070</v>
      </c>
      <c r="W22" s="35"/>
      <c r="X22" s="35"/>
      <c r="Y22" s="25">
        <f t="shared" si="2"/>
        <v>3880</v>
      </c>
    </row>
    <row r="23" spans="1:25" ht="12">
      <c r="A23" s="38" t="s">
        <v>109</v>
      </c>
      <c r="B23" s="81">
        <v>45</v>
      </c>
      <c r="C23" s="35">
        <v>96</v>
      </c>
      <c r="D23" s="25">
        <f t="shared" si="0"/>
        <v>149</v>
      </c>
      <c r="E23" s="26">
        <f t="shared" si="3"/>
        <v>171178</v>
      </c>
      <c r="F23" s="66"/>
      <c r="G23" s="66">
        <v>121980</v>
      </c>
      <c r="H23" s="25">
        <v>8670</v>
      </c>
      <c r="I23" s="25">
        <v>23322</v>
      </c>
      <c r="J23" s="25">
        <v>3237</v>
      </c>
      <c r="K23" s="25"/>
      <c r="L23" s="25">
        <v>2076</v>
      </c>
      <c r="M23" s="25"/>
      <c r="N23" s="25">
        <v>1483</v>
      </c>
      <c r="O23" s="25"/>
      <c r="P23" s="25"/>
      <c r="Q23" s="25">
        <v>2270</v>
      </c>
      <c r="R23" s="25"/>
      <c r="S23" s="25"/>
      <c r="T23" s="25"/>
      <c r="U23" s="25"/>
      <c r="V23" s="35">
        <v>8140</v>
      </c>
      <c r="W23" s="35"/>
      <c r="X23" s="35"/>
      <c r="Y23" s="25">
        <f t="shared" si="2"/>
        <v>4346</v>
      </c>
    </row>
    <row r="24" spans="1:25" ht="12">
      <c r="A24" s="38" t="s">
        <v>110</v>
      </c>
      <c r="B24" s="81">
        <v>46</v>
      </c>
      <c r="C24" s="35">
        <v>34</v>
      </c>
      <c r="D24" s="25">
        <f t="shared" si="0"/>
        <v>239</v>
      </c>
      <c r="E24" s="26">
        <f t="shared" si="3"/>
        <v>97505</v>
      </c>
      <c r="F24" s="66"/>
      <c r="G24" s="66">
        <v>64781</v>
      </c>
      <c r="H24" s="25">
        <v>4449</v>
      </c>
      <c r="I24" s="25">
        <v>12370</v>
      </c>
      <c r="J24" s="25">
        <v>1717</v>
      </c>
      <c r="K24" s="25"/>
      <c r="L24" s="25">
        <v>1285</v>
      </c>
      <c r="M24" s="25">
        <v>400</v>
      </c>
      <c r="N24" s="25">
        <v>7670</v>
      </c>
      <c r="O24" s="25">
        <v>263</v>
      </c>
      <c r="P24" s="25"/>
      <c r="Q24" s="25">
        <v>500</v>
      </c>
      <c r="R24" s="25"/>
      <c r="S24" s="25"/>
      <c r="T24" s="25"/>
      <c r="U24" s="25"/>
      <c r="V24" s="35">
        <v>4070</v>
      </c>
      <c r="W24" s="35"/>
      <c r="X24" s="35"/>
      <c r="Y24" s="25">
        <f t="shared" si="2"/>
        <v>2448</v>
      </c>
    </row>
    <row r="25" spans="1:25" ht="12">
      <c r="A25" s="38" t="s">
        <v>111</v>
      </c>
      <c r="B25" s="81">
        <v>47</v>
      </c>
      <c r="C25" s="35">
        <v>70</v>
      </c>
      <c r="D25" s="25">
        <f t="shared" si="0"/>
        <v>174</v>
      </c>
      <c r="E25" s="26">
        <f t="shared" si="3"/>
        <v>146439</v>
      </c>
      <c r="F25" s="66">
        <v>150</v>
      </c>
      <c r="G25" s="66">
        <v>88240</v>
      </c>
      <c r="H25" s="25">
        <v>7426</v>
      </c>
      <c r="I25" s="25">
        <v>17103</v>
      </c>
      <c r="J25" s="25">
        <v>2374</v>
      </c>
      <c r="K25" s="25"/>
      <c r="L25" s="25">
        <v>2000</v>
      </c>
      <c r="M25" s="25">
        <v>672</v>
      </c>
      <c r="N25" s="25">
        <v>19805</v>
      </c>
      <c r="O25" s="25"/>
      <c r="P25" s="25">
        <v>510</v>
      </c>
      <c r="Q25" s="25">
        <v>1708</v>
      </c>
      <c r="R25" s="25"/>
      <c r="S25" s="25"/>
      <c r="T25" s="25"/>
      <c r="U25" s="25"/>
      <c r="V25" s="35">
        <v>6451</v>
      </c>
      <c r="W25" s="35"/>
      <c r="X25" s="35"/>
      <c r="Y25" s="25">
        <f t="shared" si="2"/>
        <v>5040</v>
      </c>
    </row>
    <row r="26" spans="1:25" ht="12">
      <c r="A26" s="38" t="s">
        <v>112</v>
      </c>
      <c r="B26" s="81">
        <v>48</v>
      </c>
      <c r="C26" s="35">
        <v>38</v>
      </c>
      <c r="D26" s="25">
        <f t="shared" si="0"/>
        <v>203</v>
      </c>
      <c r="E26" s="26">
        <f t="shared" si="3"/>
        <v>92593</v>
      </c>
      <c r="F26" s="66"/>
      <c r="G26" s="66">
        <v>64197</v>
      </c>
      <c r="H26" s="25">
        <v>5316</v>
      </c>
      <c r="I26" s="25">
        <v>11918</v>
      </c>
      <c r="J26" s="25">
        <v>1654</v>
      </c>
      <c r="K26" s="25"/>
      <c r="L26" s="25">
        <v>908</v>
      </c>
      <c r="M26" s="25">
        <v>1000</v>
      </c>
      <c r="N26" s="25">
        <v>2330</v>
      </c>
      <c r="O26" s="25">
        <v>200</v>
      </c>
      <c r="P26" s="25"/>
      <c r="Q26" s="25">
        <v>1000</v>
      </c>
      <c r="R26" s="25"/>
      <c r="S26" s="25"/>
      <c r="T26" s="25"/>
      <c r="U26" s="25"/>
      <c r="V26" s="35">
        <v>4070</v>
      </c>
      <c r="W26" s="35"/>
      <c r="X26" s="35"/>
      <c r="Y26" s="25">
        <f t="shared" si="2"/>
        <v>3108</v>
      </c>
    </row>
    <row r="27" spans="1:25" s="76" customFormat="1" ht="12.75" customHeight="1">
      <c r="A27" s="36"/>
      <c r="B27" s="36" t="s">
        <v>21</v>
      </c>
      <c r="C27" s="82">
        <f>SUM(C5:C26)</f>
        <v>1144</v>
      </c>
      <c r="D27" s="26">
        <f t="shared" si="0"/>
        <v>174</v>
      </c>
      <c r="E27" s="26">
        <f aca="true" t="shared" si="4" ref="E27:Y27">SUM(E5:E26)</f>
        <v>2390591</v>
      </c>
      <c r="F27" s="26">
        <f t="shared" si="4"/>
        <v>2445</v>
      </c>
      <c r="G27" s="47">
        <f t="shared" si="4"/>
        <v>1560444</v>
      </c>
      <c r="H27" s="26">
        <f t="shared" si="4"/>
        <v>120077</v>
      </c>
      <c r="I27" s="26">
        <f t="shared" si="4"/>
        <v>298139</v>
      </c>
      <c r="J27" s="26">
        <f t="shared" si="4"/>
        <v>41462</v>
      </c>
      <c r="K27" s="26">
        <f t="shared" si="4"/>
        <v>500</v>
      </c>
      <c r="L27" s="26">
        <f t="shared" si="4"/>
        <v>41144</v>
      </c>
      <c r="M27" s="26">
        <f t="shared" si="4"/>
        <v>13848</v>
      </c>
      <c r="N27" s="26">
        <f t="shared" si="4"/>
        <v>165717</v>
      </c>
      <c r="O27" s="26">
        <f t="shared" si="4"/>
        <v>4943</v>
      </c>
      <c r="P27" s="26">
        <f t="shared" si="4"/>
        <v>1340</v>
      </c>
      <c r="Q27" s="26">
        <f t="shared" si="4"/>
        <v>24060</v>
      </c>
      <c r="R27" s="26">
        <f t="shared" si="4"/>
        <v>110</v>
      </c>
      <c r="S27" s="26">
        <f t="shared" si="4"/>
        <v>120</v>
      </c>
      <c r="T27" s="26">
        <f t="shared" si="4"/>
        <v>3928</v>
      </c>
      <c r="U27" s="26">
        <f t="shared" si="4"/>
        <v>290</v>
      </c>
      <c r="V27" s="26">
        <f t="shared" si="4"/>
        <v>111174</v>
      </c>
      <c r="W27" s="26">
        <f>SUM(W5:W26)</f>
        <v>850</v>
      </c>
      <c r="X27" s="26">
        <f>SUM(X5:X26)</f>
        <v>0</v>
      </c>
      <c r="Y27" s="26">
        <f t="shared" si="4"/>
        <v>93578</v>
      </c>
    </row>
    <row r="28" spans="1:25" s="76" customFormat="1" ht="12.75" customHeight="1">
      <c r="A28" s="51" t="s">
        <v>76</v>
      </c>
      <c r="B28" s="36"/>
      <c r="C28" s="82"/>
      <c r="D28" s="26"/>
      <c r="E28" s="26">
        <v>67560</v>
      </c>
      <c r="F28" s="26"/>
      <c r="G28" s="4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1:25" ht="12">
      <c r="A29" s="83" t="s">
        <v>23</v>
      </c>
      <c r="B29" s="83"/>
      <c r="C29" s="48"/>
      <c r="D29" s="48"/>
      <c r="E29" s="26">
        <f>SUM(E27:E28)</f>
        <v>2458151</v>
      </c>
      <c r="F29" s="26"/>
      <c r="G29" s="47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49" spans="1:11" ht="12">
      <c r="A49" s="72"/>
      <c r="B49" s="19"/>
      <c r="C49" s="19"/>
      <c r="D49" s="19"/>
      <c r="E49" s="19"/>
      <c r="F49" s="19"/>
      <c r="G49" s="84"/>
      <c r="H49" s="19"/>
      <c r="I49" s="19"/>
      <c r="J49" s="19"/>
      <c r="K49" s="19"/>
    </row>
    <row r="50" spans="1:11" ht="12">
      <c r="A50" s="19"/>
      <c r="B50" s="19"/>
      <c r="C50" s="19"/>
      <c r="D50" s="19"/>
      <c r="E50" s="19"/>
      <c r="F50" s="19"/>
      <c r="G50" s="84"/>
      <c r="H50" s="19"/>
      <c r="I50" s="19"/>
      <c r="J50" s="19"/>
      <c r="K50" s="19"/>
    </row>
    <row r="51" spans="1:11" ht="12">
      <c r="A51" s="85"/>
      <c r="B51" s="85"/>
      <c r="C51" s="85"/>
      <c r="D51" s="86"/>
      <c r="E51" s="85"/>
      <c r="F51" s="85"/>
      <c r="G51" s="87"/>
      <c r="H51" s="88"/>
      <c r="I51" s="86"/>
      <c r="J51" s="85"/>
      <c r="K51" s="85"/>
    </row>
    <row r="52" spans="1:11" ht="12">
      <c r="A52" s="31"/>
      <c r="B52" s="19"/>
      <c r="C52" s="19"/>
      <c r="D52" s="89"/>
      <c r="E52" s="90"/>
      <c r="F52" s="90"/>
      <c r="G52" s="91"/>
      <c r="H52" s="90"/>
      <c r="I52" s="90"/>
      <c r="J52" s="90"/>
      <c r="K52" s="90"/>
    </row>
    <row r="53" spans="1:11" ht="12">
      <c r="A53" s="31"/>
      <c r="B53" s="19"/>
      <c r="C53" s="19"/>
      <c r="D53" s="89"/>
      <c r="E53" s="90"/>
      <c r="F53" s="90"/>
      <c r="G53" s="91"/>
      <c r="H53" s="90"/>
      <c r="I53" s="90"/>
      <c r="J53" s="90"/>
      <c r="K53" s="90"/>
    </row>
    <row r="54" spans="1:11" ht="12">
      <c r="A54" s="31"/>
      <c r="B54" s="19"/>
      <c r="C54" s="19"/>
      <c r="D54" s="89"/>
      <c r="E54" s="90"/>
      <c r="F54" s="90"/>
      <c r="G54" s="91"/>
      <c r="H54" s="90"/>
      <c r="I54" s="90"/>
      <c r="J54" s="90"/>
      <c r="K54" s="90"/>
    </row>
    <row r="55" spans="1:11" ht="12">
      <c r="A55" s="31"/>
      <c r="B55" s="19"/>
      <c r="C55" s="19"/>
      <c r="D55" s="89"/>
      <c r="E55" s="90"/>
      <c r="F55" s="90"/>
      <c r="G55" s="91"/>
      <c r="H55" s="90"/>
      <c r="I55" s="90"/>
      <c r="J55" s="90"/>
      <c r="K55" s="90"/>
    </row>
    <row r="56" spans="1:11" ht="12">
      <c r="A56" s="31"/>
      <c r="B56" s="19"/>
      <c r="C56" s="19"/>
      <c r="D56" s="89"/>
      <c r="E56" s="90"/>
      <c r="F56" s="90"/>
      <c r="G56" s="91"/>
      <c r="H56" s="90"/>
      <c r="I56" s="90"/>
      <c r="J56" s="90"/>
      <c r="K56" s="90"/>
    </row>
    <row r="57" spans="1:11" ht="12">
      <c r="A57" s="31"/>
      <c r="B57" s="19"/>
      <c r="C57" s="19"/>
      <c r="D57" s="89"/>
      <c r="E57" s="90"/>
      <c r="F57" s="90"/>
      <c r="G57" s="91"/>
      <c r="H57" s="90"/>
      <c r="I57" s="90"/>
      <c r="J57" s="90"/>
      <c r="K57" s="90"/>
    </row>
    <row r="58" spans="1:11" ht="12">
      <c r="A58" s="31"/>
      <c r="B58" s="19"/>
      <c r="C58" s="19"/>
      <c r="D58" s="89"/>
      <c r="E58" s="90"/>
      <c r="F58" s="90"/>
      <c r="G58" s="91"/>
      <c r="H58" s="90"/>
      <c r="I58" s="90"/>
      <c r="J58" s="90"/>
      <c r="K58" s="90"/>
    </row>
    <row r="59" spans="1:11" ht="12">
      <c r="A59" s="31"/>
      <c r="B59" s="19"/>
      <c r="C59" s="19"/>
      <c r="D59" s="89"/>
      <c r="E59" s="90"/>
      <c r="F59" s="90"/>
      <c r="G59" s="91"/>
      <c r="H59" s="90"/>
      <c r="I59" s="90"/>
      <c r="J59" s="90"/>
      <c r="K59" s="90"/>
    </row>
    <row r="60" spans="1:11" ht="12">
      <c r="A60" s="31"/>
      <c r="B60" s="19"/>
      <c r="C60" s="19"/>
      <c r="D60" s="89"/>
      <c r="E60" s="90"/>
      <c r="F60" s="90"/>
      <c r="G60" s="91"/>
      <c r="H60" s="90"/>
      <c r="I60" s="90"/>
      <c r="J60" s="90"/>
      <c r="K60" s="90"/>
    </row>
    <row r="61" spans="1:11" ht="12">
      <c r="A61" s="31"/>
      <c r="B61" s="19"/>
      <c r="C61" s="19"/>
      <c r="D61" s="89"/>
      <c r="E61" s="90"/>
      <c r="F61" s="90"/>
      <c r="G61" s="91"/>
      <c r="H61" s="90"/>
      <c r="I61" s="90"/>
      <c r="J61" s="90"/>
      <c r="K61" s="90"/>
    </row>
    <row r="62" spans="1:11" ht="12">
      <c r="A62" s="31"/>
      <c r="B62" s="19"/>
      <c r="C62" s="19"/>
      <c r="D62" s="89"/>
      <c r="E62" s="90"/>
      <c r="F62" s="90"/>
      <c r="G62" s="91"/>
      <c r="H62" s="90"/>
      <c r="I62" s="90"/>
      <c r="J62" s="90"/>
      <c r="K62" s="90"/>
    </row>
    <row r="63" spans="1:11" ht="12">
      <c r="A63" s="31"/>
      <c r="B63" s="19"/>
      <c r="C63" s="19"/>
      <c r="D63" s="89"/>
      <c r="E63" s="90"/>
      <c r="F63" s="90"/>
      <c r="G63" s="91"/>
      <c r="H63" s="90"/>
      <c r="I63" s="90"/>
      <c r="J63" s="90"/>
      <c r="K63" s="90"/>
    </row>
    <row r="64" spans="1:11" ht="12">
      <c r="A64" s="31"/>
      <c r="B64" s="19"/>
      <c r="C64" s="19"/>
      <c r="D64" s="89"/>
      <c r="E64" s="90"/>
      <c r="F64" s="90"/>
      <c r="G64" s="91"/>
      <c r="H64" s="90"/>
      <c r="I64" s="90"/>
      <c r="J64" s="90"/>
      <c r="K64" s="90"/>
    </row>
    <row r="65" spans="1:11" ht="12">
      <c r="A65" s="31"/>
      <c r="B65" s="19"/>
      <c r="C65" s="19"/>
      <c r="D65" s="89"/>
      <c r="E65" s="90"/>
      <c r="F65" s="90"/>
      <c r="G65" s="91"/>
      <c r="H65" s="90"/>
      <c r="I65" s="90"/>
      <c r="J65" s="90"/>
      <c r="K65" s="90"/>
    </row>
    <row r="66" spans="1:11" ht="12">
      <c r="A66" s="31"/>
      <c r="B66" s="19"/>
      <c r="C66" s="19"/>
      <c r="D66" s="89"/>
      <c r="E66" s="90"/>
      <c r="F66" s="90"/>
      <c r="G66" s="91"/>
      <c r="H66" s="90"/>
      <c r="I66" s="90"/>
      <c r="J66" s="90"/>
      <c r="K66" s="90"/>
    </row>
    <row r="67" spans="1:11" ht="12">
      <c r="A67" s="31"/>
      <c r="B67" s="19"/>
      <c r="C67" s="19"/>
      <c r="D67" s="89"/>
      <c r="E67" s="90"/>
      <c r="F67" s="90"/>
      <c r="G67" s="91"/>
      <c r="H67" s="90"/>
      <c r="I67" s="90"/>
      <c r="J67" s="90"/>
      <c r="K67" s="90"/>
    </row>
    <row r="68" spans="1:11" ht="12">
      <c r="A68" s="31"/>
      <c r="B68" s="19"/>
      <c r="C68" s="19"/>
      <c r="D68" s="89"/>
      <c r="E68" s="90"/>
      <c r="F68" s="90"/>
      <c r="G68" s="91"/>
      <c r="H68" s="90"/>
      <c r="I68" s="90"/>
      <c r="J68" s="90"/>
      <c r="K68" s="90"/>
    </row>
    <row r="69" spans="1:11" ht="12">
      <c r="A69" s="31"/>
      <c r="B69" s="19"/>
      <c r="C69" s="19"/>
      <c r="D69" s="89"/>
      <c r="E69" s="90"/>
      <c r="F69" s="90"/>
      <c r="G69" s="91"/>
      <c r="H69" s="90"/>
      <c r="I69" s="90"/>
      <c r="J69" s="90"/>
      <c r="K69" s="90"/>
    </row>
    <row r="70" spans="1:11" ht="12">
      <c r="A70" s="31"/>
      <c r="B70" s="19"/>
      <c r="C70" s="19"/>
      <c r="D70" s="89"/>
      <c r="E70" s="90"/>
      <c r="F70" s="90"/>
      <c r="G70" s="91"/>
      <c r="H70" s="90"/>
      <c r="I70" s="90"/>
      <c r="J70" s="90"/>
      <c r="K70" s="90"/>
    </row>
    <row r="71" spans="1:11" ht="12">
      <c r="A71" s="31"/>
      <c r="B71" s="19"/>
      <c r="C71" s="19"/>
      <c r="D71" s="89"/>
      <c r="E71" s="90"/>
      <c r="F71" s="90"/>
      <c r="G71" s="91"/>
      <c r="H71" s="90"/>
      <c r="I71" s="90"/>
      <c r="J71" s="90"/>
      <c r="K71" s="90"/>
    </row>
    <row r="72" spans="1:11" ht="12">
      <c r="A72" s="72"/>
      <c r="B72" s="72"/>
      <c r="C72" s="92"/>
      <c r="D72" s="93"/>
      <c r="E72" s="94"/>
      <c r="F72" s="94"/>
      <c r="G72" s="91"/>
      <c r="H72" s="94"/>
      <c r="I72" s="94"/>
      <c r="J72" s="94"/>
      <c r="K72" s="94"/>
    </row>
    <row r="73" spans="1:11" ht="12">
      <c r="A73" s="19"/>
      <c r="B73" s="19"/>
      <c r="C73" s="19"/>
      <c r="D73" s="90"/>
      <c r="E73" s="90"/>
      <c r="F73" s="90"/>
      <c r="G73" s="91"/>
      <c r="H73" s="90"/>
      <c r="I73" s="19"/>
      <c r="J73" s="19"/>
      <c r="K73" s="19"/>
    </row>
    <row r="74" spans="1:11" ht="12">
      <c r="A74" s="19"/>
      <c r="B74" s="19"/>
      <c r="C74" s="19"/>
      <c r="D74" s="19"/>
      <c r="E74" s="19"/>
      <c r="F74" s="19"/>
      <c r="G74" s="84"/>
      <c r="H74" s="19"/>
      <c r="I74" s="19"/>
      <c r="J74" s="19"/>
      <c r="K74" s="19"/>
    </row>
    <row r="75" spans="1:11" ht="12">
      <c r="A75" s="19"/>
      <c r="B75" s="19"/>
      <c r="C75" s="19"/>
      <c r="D75" s="90"/>
      <c r="E75" s="19"/>
      <c r="F75" s="19"/>
      <c r="G75" s="91"/>
      <c r="H75" s="90"/>
      <c r="I75" s="19"/>
      <c r="J75" s="19"/>
      <c r="K75" s="19"/>
    </row>
    <row r="76" spans="1:11" ht="12">
      <c r="A76" s="19"/>
      <c r="B76" s="19"/>
      <c r="C76" s="19"/>
      <c r="D76" s="19"/>
      <c r="E76" s="19"/>
      <c r="F76" s="19"/>
      <c r="G76" s="91"/>
      <c r="H76" s="19"/>
      <c r="I76" s="19"/>
      <c r="J76" s="19"/>
      <c r="K76" s="19"/>
    </row>
  </sheetData>
  <printOptions horizontalCentered="1" verticalCentered="1"/>
  <pageMargins left="0.3937007874015748" right="0.3937007874015748" top="0.72" bottom="1.53" header="0.32" footer="0.93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IV3"/>
    </sheetView>
  </sheetViews>
  <sheetFormatPr defaultColWidth="9.00390625" defaultRowHeight="12.75"/>
  <cols>
    <col min="1" max="1" width="5.25390625" style="166" customWidth="1"/>
    <col min="2" max="2" width="5.875" style="166" customWidth="1"/>
    <col min="3" max="3" width="4.375" style="166" customWidth="1"/>
    <col min="4" max="4" width="4.00390625" style="166" customWidth="1"/>
    <col min="5" max="5" width="6.375" style="166" customWidth="1"/>
    <col min="6" max="6" width="8.625" style="166" customWidth="1"/>
    <col min="7" max="7" width="8.375" style="166" customWidth="1"/>
    <col min="8" max="8" width="7.75390625" style="166" customWidth="1"/>
    <col min="9" max="9" width="7.375" style="166" customWidth="1"/>
    <col min="10" max="11" width="8.625" style="166" customWidth="1"/>
    <col min="12" max="12" width="8.375" style="166" customWidth="1"/>
    <col min="13" max="14" width="7.75390625" style="166" customWidth="1"/>
    <col min="15" max="15" width="6.75390625" style="166" customWidth="1"/>
    <col min="16" max="16" width="5.75390625" style="166" customWidth="1"/>
    <col min="17" max="17" width="6.25390625" style="166" customWidth="1"/>
    <col min="18" max="19" width="7.75390625" style="166" customWidth="1"/>
    <col min="20" max="20" width="7.125" style="166" customWidth="1"/>
    <col min="21" max="21" width="8.75390625" style="166" customWidth="1"/>
    <col min="22" max="22" width="5.875" style="166" customWidth="1"/>
    <col min="23" max="25" width="9.125" style="166" customWidth="1"/>
    <col min="26" max="26" width="9.125" style="167" customWidth="1"/>
    <col min="27" max="27" width="9.125" style="166" customWidth="1"/>
    <col min="28" max="30" width="9.125" style="167" customWidth="1"/>
    <col min="31" max="32" width="9.125" style="166" customWidth="1"/>
    <col min="33" max="33" width="9.125" style="168" customWidth="1"/>
    <col min="34" max="34" width="9.125" style="169" customWidth="1"/>
    <col min="35" max="16384" width="9.125" style="166" customWidth="1"/>
  </cols>
  <sheetData>
    <row r="1" ht="12" customHeight="1">
      <c r="V1" s="163" t="s">
        <v>177</v>
      </c>
    </row>
    <row r="2" spans="1:22" ht="15" customHeight="1">
      <c r="A2" s="164" t="s">
        <v>250</v>
      </c>
      <c r="B2" s="164"/>
      <c r="C2" s="164"/>
      <c r="D2" s="164"/>
      <c r="E2" s="164"/>
      <c r="F2" s="164"/>
      <c r="G2" s="164"/>
      <c r="H2" s="164"/>
      <c r="I2" s="164"/>
      <c r="J2" s="164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7"/>
    </row>
    <row r="3" spans="1:22" ht="1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7"/>
    </row>
    <row r="4" spans="1:22" ht="12.75" customHeight="1">
      <c r="A4" s="170"/>
      <c r="B4" s="171"/>
      <c r="C4" s="171"/>
      <c r="D4" s="171"/>
      <c r="E4" s="171" t="s">
        <v>140</v>
      </c>
      <c r="F4" s="171"/>
      <c r="G4" s="171"/>
      <c r="H4" s="171"/>
      <c r="I4" s="171"/>
      <c r="J4" s="171"/>
      <c r="K4" s="171" t="s">
        <v>141</v>
      </c>
      <c r="L4" s="172"/>
      <c r="M4" s="172"/>
      <c r="N4" s="172"/>
      <c r="O4" s="172"/>
      <c r="P4" s="172"/>
      <c r="Q4" s="173"/>
      <c r="R4" s="172"/>
      <c r="S4" s="172"/>
      <c r="T4" s="171" t="s">
        <v>142</v>
      </c>
      <c r="U4" s="171"/>
      <c r="V4" s="174"/>
    </row>
    <row r="5" spans="1:22" ht="13.5" customHeight="1">
      <c r="A5" s="175" t="s">
        <v>143</v>
      </c>
      <c r="B5" s="176"/>
      <c r="C5" s="177" t="s">
        <v>144</v>
      </c>
      <c r="D5" s="177"/>
      <c r="E5" s="176" t="s">
        <v>145</v>
      </c>
      <c r="F5" s="176" t="s">
        <v>140</v>
      </c>
      <c r="G5" s="177" t="s">
        <v>144</v>
      </c>
      <c r="H5" s="177"/>
      <c r="I5" s="177"/>
      <c r="J5" s="4"/>
      <c r="K5" s="176" t="s">
        <v>141</v>
      </c>
      <c r="L5" s="178" t="s">
        <v>146</v>
      </c>
      <c r="M5" s="179"/>
      <c r="N5" s="179"/>
      <c r="O5" s="179"/>
      <c r="P5" s="179"/>
      <c r="Q5" s="179"/>
      <c r="R5" s="179"/>
      <c r="S5" s="180"/>
      <c r="T5" s="181" t="s">
        <v>145</v>
      </c>
      <c r="U5" s="4"/>
      <c r="V5" s="182" t="s">
        <v>147</v>
      </c>
    </row>
    <row r="6" spans="1:22" ht="11.25">
      <c r="A6" s="175" t="s">
        <v>148</v>
      </c>
      <c r="B6" s="176" t="s">
        <v>149</v>
      </c>
      <c r="C6" s="176" t="s">
        <v>150</v>
      </c>
      <c r="D6" s="176" t="s">
        <v>151</v>
      </c>
      <c r="E6" s="176" t="s">
        <v>152</v>
      </c>
      <c r="F6" s="176" t="s">
        <v>23</v>
      </c>
      <c r="G6" s="176" t="s">
        <v>153</v>
      </c>
      <c r="H6" s="176" t="s">
        <v>248</v>
      </c>
      <c r="I6" s="176" t="s">
        <v>249</v>
      </c>
      <c r="J6" s="176" t="s">
        <v>154</v>
      </c>
      <c r="K6" s="176" t="s">
        <v>23</v>
      </c>
      <c r="L6" s="183" t="s">
        <v>155</v>
      </c>
      <c r="M6" s="183" t="s">
        <v>156</v>
      </c>
      <c r="N6" s="183" t="s">
        <v>157</v>
      </c>
      <c r="O6" s="183" t="s">
        <v>158</v>
      </c>
      <c r="P6" s="183" t="s">
        <v>159</v>
      </c>
      <c r="Q6" s="183" t="s">
        <v>160</v>
      </c>
      <c r="R6" s="183" t="s">
        <v>161</v>
      </c>
      <c r="S6" s="183" t="s">
        <v>162</v>
      </c>
      <c r="T6" s="176" t="s">
        <v>163</v>
      </c>
      <c r="U6" s="176" t="s">
        <v>154</v>
      </c>
      <c r="V6" s="182" t="s">
        <v>164</v>
      </c>
    </row>
    <row r="7" spans="1:22" ht="11.25">
      <c r="A7" s="184"/>
      <c r="B7" s="176" t="s">
        <v>165</v>
      </c>
      <c r="C7" s="42" t="s">
        <v>151</v>
      </c>
      <c r="D7" s="4"/>
      <c r="E7" s="176" t="s">
        <v>166</v>
      </c>
      <c r="F7" s="4"/>
      <c r="G7" s="4"/>
      <c r="H7" s="4"/>
      <c r="I7" s="42" t="s">
        <v>167</v>
      </c>
      <c r="J7" s="4"/>
      <c r="K7" s="17"/>
      <c r="L7" s="176"/>
      <c r="M7" s="17"/>
      <c r="N7" s="176"/>
      <c r="O7" s="176"/>
      <c r="P7" s="176"/>
      <c r="Q7" s="176"/>
      <c r="R7" s="176"/>
      <c r="S7" s="176"/>
      <c r="T7" s="176" t="s">
        <v>168</v>
      </c>
      <c r="U7" s="4"/>
      <c r="V7" s="182" t="s">
        <v>169</v>
      </c>
    </row>
    <row r="8" spans="1:22" ht="11.25">
      <c r="A8" s="185">
        <v>4</v>
      </c>
      <c r="B8" s="4">
        <v>75</v>
      </c>
      <c r="C8" s="4">
        <v>65</v>
      </c>
      <c r="D8" s="4">
        <f aca="true" t="shared" si="0" ref="D8:D44">B8-C8</f>
        <v>10</v>
      </c>
      <c r="E8" s="13">
        <v>-12246</v>
      </c>
      <c r="F8" s="14">
        <f aca="true" t="shared" si="1" ref="F8:F45">G8+H8+I8</f>
        <v>572846</v>
      </c>
      <c r="G8" s="13">
        <v>394080</v>
      </c>
      <c r="H8" s="13">
        <v>177566</v>
      </c>
      <c r="I8" s="13">
        <v>1200</v>
      </c>
      <c r="J8" s="186">
        <f aca="true" t="shared" si="2" ref="J8:J44">SUM(E8+F8)</f>
        <v>560600</v>
      </c>
      <c r="K8" s="14">
        <f aca="true" t="shared" si="3" ref="K8:K44">SUM(L8:S8)</f>
        <v>562439</v>
      </c>
      <c r="L8" s="13">
        <v>366474</v>
      </c>
      <c r="M8" s="13">
        <v>28897</v>
      </c>
      <c r="N8" s="13">
        <v>65103</v>
      </c>
      <c r="O8" s="13">
        <v>9037</v>
      </c>
      <c r="P8" s="13">
        <v>0</v>
      </c>
      <c r="Q8" s="13">
        <v>19156</v>
      </c>
      <c r="R8" s="13">
        <v>48565</v>
      </c>
      <c r="S8" s="13">
        <f aca="true" t="shared" si="4" ref="S8:S44">J8-L8-M8-N8-O8-P8-Q8-R8-T8</f>
        <v>25207</v>
      </c>
      <c r="T8" s="13">
        <v>-1839</v>
      </c>
      <c r="U8" s="186">
        <f aca="true" t="shared" si="5" ref="U8:U44">K8+T8</f>
        <v>560600</v>
      </c>
      <c r="V8" s="187">
        <f aca="true" t="shared" si="6" ref="V8:V45">U8/B8/12</f>
        <v>623</v>
      </c>
    </row>
    <row r="9" spans="1:22" ht="11.25">
      <c r="A9" s="185">
        <v>5</v>
      </c>
      <c r="B9" s="4">
        <v>112</v>
      </c>
      <c r="C9" s="4">
        <v>105</v>
      </c>
      <c r="D9" s="4">
        <f t="shared" si="0"/>
        <v>7</v>
      </c>
      <c r="E9" s="13">
        <v>51245</v>
      </c>
      <c r="F9" s="14">
        <f t="shared" si="1"/>
        <v>803885</v>
      </c>
      <c r="G9" s="13">
        <f>525504+1000</f>
        <v>526504</v>
      </c>
      <c r="H9" s="13">
        <v>274881</v>
      </c>
      <c r="I9" s="13">
        <v>2500</v>
      </c>
      <c r="J9" s="186">
        <f t="shared" si="2"/>
        <v>855130</v>
      </c>
      <c r="K9" s="14">
        <f t="shared" si="3"/>
        <v>830965</v>
      </c>
      <c r="L9" s="13">
        <v>391874</v>
      </c>
      <c r="M9" s="13">
        <v>32985</v>
      </c>
      <c r="N9" s="13">
        <v>74314</v>
      </c>
      <c r="O9" s="13">
        <v>10316</v>
      </c>
      <c r="P9" s="13">
        <v>0</v>
      </c>
      <c r="Q9" s="13">
        <v>24413</v>
      </c>
      <c r="R9" s="13">
        <v>69559</v>
      </c>
      <c r="S9" s="13">
        <f t="shared" si="4"/>
        <v>227504</v>
      </c>
      <c r="T9" s="13">
        <v>24165</v>
      </c>
      <c r="U9" s="186">
        <f t="shared" si="5"/>
        <v>855130</v>
      </c>
      <c r="V9" s="187">
        <f t="shared" si="6"/>
        <v>636</v>
      </c>
    </row>
    <row r="10" spans="1:22" ht="11.25">
      <c r="A10" s="185">
        <v>6</v>
      </c>
      <c r="B10" s="4">
        <v>140</v>
      </c>
      <c r="C10" s="4">
        <v>140</v>
      </c>
      <c r="D10" s="4">
        <f t="shared" si="0"/>
        <v>0</v>
      </c>
      <c r="E10" s="13">
        <v>-5014</v>
      </c>
      <c r="F10" s="14">
        <f t="shared" si="1"/>
        <v>1109604</v>
      </c>
      <c r="G10" s="13">
        <f>604800+150000+560</f>
        <v>755360</v>
      </c>
      <c r="H10" s="13">
        <v>345217</v>
      </c>
      <c r="I10" s="13">
        <v>9027</v>
      </c>
      <c r="J10" s="186">
        <f t="shared" si="2"/>
        <v>1104590</v>
      </c>
      <c r="K10" s="14">
        <f t="shared" si="3"/>
        <v>1104377</v>
      </c>
      <c r="L10" s="13">
        <v>569341</v>
      </c>
      <c r="M10" s="13">
        <v>45962</v>
      </c>
      <c r="N10" s="13">
        <v>103550</v>
      </c>
      <c r="O10" s="13">
        <v>14374</v>
      </c>
      <c r="P10" s="13">
        <v>2800</v>
      </c>
      <c r="Q10" s="13">
        <v>31192</v>
      </c>
      <c r="R10" s="13">
        <v>86304</v>
      </c>
      <c r="S10" s="13">
        <f t="shared" si="4"/>
        <v>250854</v>
      </c>
      <c r="T10" s="13">
        <v>213</v>
      </c>
      <c r="U10" s="186">
        <f t="shared" si="5"/>
        <v>1104590</v>
      </c>
      <c r="V10" s="187">
        <f t="shared" si="6"/>
        <v>657</v>
      </c>
    </row>
    <row r="11" spans="1:22" ht="11.25">
      <c r="A11" s="185">
        <v>7</v>
      </c>
      <c r="B11" s="4">
        <v>115</v>
      </c>
      <c r="C11" s="4">
        <v>105</v>
      </c>
      <c r="D11" s="4">
        <f t="shared" si="0"/>
        <v>10</v>
      </c>
      <c r="E11" s="13">
        <v>57131</v>
      </c>
      <c r="F11" s="14">
        <f t="shared" si="1"/>
        <v>802662</v>
      </c>
      <c r="G11" s="13">
        <f>537960+3000</f>
        <v>540960</v>
      </c>
      <c r="H11" s="13">
        <v>261702</v>
      </c>
      <c r="I11" s="13">
        <v>0</v>
      </c>
      <c r="J11" s="186">
        <f t="shared" si="2"/>
        <v>859793</v>
      </c>
      <c r="K11" s="14">
        <f t="shared" si="3"/>
        <v>848262</v>
      </c>
      <c r="L11" s="13">
        <v>493537</v>
      </c>
      <c r="M11" s="13">
        <v>40383</v>
      </c>
      <c r="N11" s="13">
        <v>90982</v>
      </c>
      <c r="O11" s="13">
        <v>12629</v>
      </c>
      <c r="P11" s="13">
        <v>0</v>
      </c>
      <c r="Q11" s="13">
        <v>29080</v>
      </c>
      <c r="R11" s="13">
        <v>75082</v>
      </c>
      <c r="S11" s="13">
        <f>J11-L11-M11-N11-O11-P11-Q11-R11-T11</f>
        <v>106569</v>
      </c>
      <c r="T11" s="13">
        <v>11531</v>
      </c>
      <c r="U11" s="186">
        <f t="shared" si="5"/>
        <v>859793</v>
      </c>
      <c r="V11" s="187">
        <f t="shared" si="6"/>
        <v>623</v>
      </c>
    </row>
    <row r="12" spans="1:22" ht="11.25">
      <c r="A12" s="185">
        <v>8</v>
      </c>
      <c r="B12" s="4">
        <v>80</v>
      </c>
      <c r="C12" s="4">
        <v>60</v>
      </c>
      <c r="D12" s="4">
        <f t="shared" si="0"/>
        <v>20</v>
      </c>
      <c r="E12" s="13">
        <v>39153</v>
      </c>
      <c r="F12" s="14">
        <f t="shared" si="1"/>
        <v>583780</v>
      </c>
      <c r="G12" s="13">
        <f>408480+4000</f>
        <v>412480</v>
      </c>
      <c r="H12" s="13">
        <v>163900</v>
      </c>
      <c r="I12" s="13">
        <v>7400</v>
      </c>
      <c r="J12" s="186">
        <f t="shared" si="2"/>
        <v>622933</v>
      </c>
      <c r="K12" s="14">
        <f t="shared" si="3"/>
        <v>611626</v>
      </c>
      <c r="L12" s="13">
        <v>314330</v>
      </c>
      <c r="M12" s="13">
        <v>26629</v>
      </c>
      <c r="N12" s="13">
        <v>59994</v>
      </c>
      <c r="O12" s="13">
        <v>8328</v>
      </c>
      <c r="P12" s="13">
        <v>6500</v>
      </c>
      <c r="Q12" s="13">
        <v>18261</v>
      </c>
      <c r="R12" s="13">
        <v>53348</v>
      </c>
      <c r="S12" s="13">
        <f t="shared" si="4"/>
        <v>124236</v>
      </c>
      <c r="T12" s="13">
        <v>11307</v>
      </c>
      <c r="U12" s="186">
        <f t="shared" si="5"/>
        <v>622933</v>
      </c>
      <c r="V12" s="187">
        <f t="shared" si="6"/>
        <v>649</v>
      </c>
    </row>
    <row r="13" spans="1:22" ht="11.25">
      <c r="A13" s="185">
        <v>9</v>
      </c>
      <c r="B13" s="4">
        <v>100</v>
      </c>
      <c r="C13" s="4">
        <v>84</v>
      </c>
      <c r="D13" s="4">
        <f t="shared" si="0"/>
        <v>16</v>
      </c>
      <c r="E13" s="13">
        <v>-18565</v>
      </c>
      <c r="F13" s="14">
        <f t="shared" si="1"/>
        <v>701732</v>
      </c>
      <c r="G13" s="13">
        <v>485760</v>
      </c>
      <c r="H13" s="13">
        <v>214972</v>
      </c>
      <c r="I13" s="13">
        <v>1000</v>
      </c>
      <c r="J13" s="186">
        <f t="shared" si="2"/>
        <v>683167</v>
      </c>
      <c r="K13" s="14">
        <f t="shared" si="3"/>
        <v>701732</v>
      </c>
      <c r="L13" s="13">
        <v>455013</v>
      </c>
      <c r="M13" s="13">
        <v>38098</v>
      </c>
      <c r="N13" s="13">
        <v>85834</v>
      </c>
      <c r="O13" s="13">
        <v>11915</v>
      </c>
      <c r="P13" s="13">
        <v>0</v>
      </c>
      <c r="Q13" s="13">
        <v>25755</v>
      </c>
      <c r="R13" s="13">
        <v>57178</v>
      </c>
      <c r="S13" s="13">
        <f t="shared" si="4"/>
        <v>27939</v>
      </c>
      <c r="T13" s="13">
        <v>-18565</v>
      </c>
      <c r="U13" s="186">
        <f t="shared" si="5"/>
        <v>683167</v>
      </c>
      <c r="V13" s="187">
        <f t="shared" si="6"/>
        <v>569</v>
      </c>
    </row>
    <row r="14" spans="1:22" ht="11.25">
      <c r="A14" s="185" t="s">
        <v>170</v>
      </c>
      <c r="B14" s="4">
        <v>120</v>
      </c>
      <c r="C14" s="4">
        <v>100</v>
      </c>
      <c r="D14" s="4">
        <f t="shared" si="0"/>
        <v>20</v>
      </c>
      <c r="E14" s="13">
        <v>26800</v>
      </c>
      <c r="F14" s="14">
        <f t="shared" si="1"/>
        <v>1057568</v>
      </c>
      <c r="G14" s="13">
        <f>582240+160000</f>
        <v>742240</v>
      </c>
      <c r="H14" s="13">
        <v>312328</v>
      </c>
      <c r="I14" s="13">
        <v>3000</v>
      </c>
      <c r="J14" s="186">
        <f t="shared" si="2"/>
        <v>1084368</v>
      </c>
      <c r="K14" s="14">
        <f t="shared" si="3"/>
        <v>1057568</v>
      </c>
      <c r="L14" s="13">
        <v>511323</v>
      </c>
      <c r="M14" s="13">
        <v>40791</v>
      </c>
      <c r="N14" s="13">
        <v>91901</v>
      </c>
      <c r="O14" s="13">
        <v>12757</v>
      </c>
      <c r="P14" s="13">
        <v>6000</v>
      </c>
      <c r="Q14" s="13">
        <v>26766</v>
      </c>
      <c r="R14" s="13">
        <v>80546</v>
      </c>
      <c r="S14" s="13">
        <f t="shared" si="4"/>
        <v>287484</v>
      </c>
      <c r="T14" s="13">
        <v>26800</v>
      </c>
      <c r="U14" s="186">
        <f t="shared" si="5"/>
        <v>1084368</v>
      </c>
      <c r="V14" s="187">
        <f t="shared" si="6"/>
        <v>753</v>
      </c>
    </row>
    <row r="15" spans="1:22" ht="11.25">
      <c r="A15" s="185">
        <v>13</v>
      </c>
      <c r="B15" s="4">
        <v>116</v>
      </c>
      <c r="C15" s="4">
        <v>100</v>
      </c>
      <c r="D15" s="4">
        <f t="shared" si="0"/>
        <v>16</v>
      </c>
      <c r="E15" s="13">
        <v>10000</v>
      </c>
      <c r="F15" s="14">
        <f t="shared" si="1"/>
        <v>855484</v>
      </c>
      <c r="G15" s="13">
        <f>565632+2000</f>
        <v>567632</v>
      </c>
      <c r="H15" s="13">
        <v>286352</v>
      </c>
      <c r="I15" s="13">
        <v>1500</v>
      </c>
      <c r="J15" s="186">
        <f t="shared" si="2"/>
        <v>865484</v>
      </c>
      <c r="K15" s="14">
        <f t="shared" si="3"/>
        <v>860484</v>
      </c>
      <c r="L15" s="13">
        <v>504029</v>
      </c>
      <c r="M15" s="13">
        <v>40640</v>
      </c>
      <c r="N15" s="13">
        <v>91562</v>
      </c>
      <c r="O15" s="13">
        <v>12710</v>
      </c>
      <c r="P15" s="13">
        <v>2000</v>
      </c>
      <c r="Q15" s="13">
        <v>25990</v>
      </c>
      <c r="R15" s="13">
        <v>90147</v>
      </c>
      <c r="S15" s="13">
        <f t="shared" si="4"/>
        <v>93406</v>
      </c>
      <c r="T15" s="13">
        <v>5000</v>
      </c>
      <c r="U15" s="186">
        <f t="shared" si="5"/>
        <v>865484</v>
      </c>
      <c r="V15" s="187">
        <f t="shared" si="6"/>
        <v>622</v>
      </c>
    </row>
    <row r="16" spans="1:22" ht="11.25">
      <c r="A16" s="185">
        <v>14</v>
      </c>
      <c r="B16" s="4">
        <v>74</v>
      </c>
      <c r="C16" s="4">
        <v>60</v>
      </c>
      <c r="D16" s="4">
        <f t="shared" si="0"/>
        <v>14</v>
      </c>
      <c r="E16" s="13">
        <v>2713</v>
      </c>
      <c r="F16" s="14">
        <f t="shared" si="1"/>
        <v>547099</v>
      </c>
      <c r="G16" s="13">
        <v>383568</v>
      </c>
      <c r="H16" s="13">
        <v>162031</v>
      </c>
      <c r="I16" s="13">
        <v>1500</v>
      </c>
      <c r="J16" s="186">
        <f t="shared" si="2"/>
        <v>549812</v>
      </c>
      <c r="K16" s="14">
        <f t="shared" si="3"/>
        <v>546812</v>
      </c>
      <c r="L16" s="13">
        <v>288492</v>
      </c>
      <c r="M16" s="13">
        <v>24204</v>
      </c>
      <c r="N16" s="13">
        <v>54531</v>
      </c>
      <c r="O16" s="13">
        <v>7569</v>
      </c>
      <c r="P16" s="13">
        <v>2000</v>
      </c>
      <c r="Q16" s="13">
        <v>17572</v>
      </c>
      <c r="R16" s="13">
        <v>45386</v>
      </c>
      <c r="S16" s="13">
        <f t="shared" si="4"/>
        <v>107058</v>
      </c>
      <c r="T16" s="13">
        <v>3000</v>
      </c>
      <c r="U16" s="186">
        <f t="shared" si="5"/>
        <v>549812</v>
      </c>
      <c r="V16" s="187">
        <f t="shared" si="6"/>
        <v>619</v>
      </c>
    </row>
    <row r="17" spans="1:22" ht="11.25">
      <c r="A17" s="185">
        <v>15</v>
      </c>
      <c r="B17" s="4">
        <v>104</v>
      </c>
      <c r="C17" s="4">
        <v>84</v>
      </c>
      <c r="D17" s="4">
        <f t="shared" si="0"/>
        <v>20</v>
      </c>
      <c r="E17" s="13">
        <v>-57339</v>
      </c>
      <c r="F17" s="14">
        <f t="shared" si="1"/>
        <v>758475</v>
      </c>
      <c r="G17" s="13">
        <f>502368+1000</f>
        <v>503368</v>
      </c>
      <c r="H17" s="13">
        <v>254907</v>
      </c>
      <c r="I17" s="13">
        <v>200</v>
      </c>
      <c r="J17" s="186">
        <f t="shared" si="2"/>
        <v>701136</v>
      </c>
      <c r="K17" s="14">
        <f t="shared" si="3"/>
        <v>800884</v>
      </c>
      <c r="L17" s="13">
        <v>480992</v>
      </c>
      <c r="M17" s="13">
        <v>39297</v>
      </c>
      <c r="N17" s="13">
        <v>88536</v>
      </c>
      <c r="O17" s="13">
        <v>12290</v>
      </c>
      <c r="P17" s="13">
        <v>1000</v>
      </c>
      <c r="Q17" s="13">
        <v>25669</v>
      </c>
      <c r="R17" s="13">
        <v>78000</v>
      </c>
      <c r="S17" s="13">
        <f t="shared" si="4"/>
        <v>75100</v>
      </c>
      <c r="T17" s="13">
        <v>-99748</v>
      </c>
      <c r="U17" s="186">
        <f t="shared" si="5"/>
        <v>701136</v>
      </c>
      <c r="V17" s="187">
        <f t="shared" si="6"/>
        <v>562</v>
      </c>
    </row>
    <row r="18" spans="1:22" ht="11.25">
      <c r="A18" s="185">
        <v>16</v>
      </c>
      <c r="B18" s="4">
        <v>120</v>
      </c>
      <c r="C18" s="4">
        <v>102</v>
      </c>
      <c r="D18" s="4">
        <f t="shared" si="0"/>
        <v>18</v>
      </c>
      <c r="E18" s="13">
        <v>6754</v>
      </c>
      <c r="F18" s="14">
        <f t="shared" si="1"/>
        <v>843501</v>
      </c>
      <c r="G18" s="13">
        <f>556992+2000+8603</f>
        <v>567595</v>
      </c>
      <c r="H18" s="13">
        <v>272906</v>
      </c>
      <c r="I18" s="13">
        <v>3000</v>
      </c>
      <c r="J18" s="186">
        <f t="shared" si="2"/>
        <v>850255</v>
      </c>
      <c r="K18" s="14">
        <f t="shared" si="3"/>
        <v>843501</v>
      </c>
      <c r="L18" s="13">
        <v>499453</v>
      </c>
      <c r="M18" s="13">
        <v>42177</v>
      </c>
      <c r="N18" s="13">
        <v>95023</v>
      </c>
      <c r="O18" s="13">
        <v>13190</v>
      </c>
      <c r="P18" s="13">
        <v>500</v>
      </c>
      <c r="Q18" s="13">
        <v>26846</v>
      </c>
      <c r="R18" s="13">
        <v>69825</v>
      </c>
      <c r="S18" s="13">
        <f t="shared" si="4"/>
        <v>96487</v>
      </c>
      <c r="T18" s="13">
        <v>6754</v>
      </c>
      <c r="U18" s="186">
        <f t="shared" si="5"/>
        <v>850255</v>
      </c>
      <c r="V18" s="187">
        <f t="shared" si="6"/>
        <v>590</v>
      </c>
    </row>
    <row r="19" spans="1:22" ht="11.25">
      <c r="A19" s="185">
        <v>18</v>
      </c>
      <c r="B19" s="4">
        <v>130</v>
      </c>
      <c r="C19" s="4">
        <v>52</v>
      </c>
      <c r="D19" s="4">
        <f t="shared" si="0"/>
        <v>78</v>
      </c>
      <c r="E19" s="13">
        <v>-12268</v>
      </c>
      <c r="F19" s="14">
        <f t="shared" si="1"/>
        <v>798123</v>
      </c>
      <c r="G19" s="13">
        <v>605904</v>
      </c>
      <c r="H19" s="13">
        <v>191219</v>
      </c>
      <c r="I19" s="13">
        <v>1000</v>
      </c>
      <c r="J19" s="186">
        <f t="shared" si="2"/>
        <v>785855</v>
      </c>
      <c r="K19" s="14">
        <f t="shared" si="3"/>
        <v>795855</v>
      </c>
      <c r="L19" s="13">
        <v>501613</v>
      </c>
      <c r="M19" s="13">
        <v>39492</v>
      </c>
      <c r="N19" s="13">
        <v>88975</v>
      </c>
      <c r="O19" s="13">
        <v>12351</v>
      </c>
      <c r="P19" s="13">
        <v>2000</v>
      </c>
      <c r="Q19" s="13">
        <v>26560</v>
      </c>
      <c r="R19" s="13">
        <v>60281</v>
      </c>
      <c r="S19" s="13">
        <f t="shared" si="4"/>
        <v>64583</v>
      </c>
      <c r="T19" s="13">
        <v>-10000</v>
      </c>
      <c r="U19" s="186">
        <f t="shared" si="5"/>
        <v>785855</v>
      </c>
      <c r="V19" s="187">
        <f t="shared" si="6"/>
        <v>504</v>
      </c>
    </row>
    <row r="20" spans="1:22" ht="11.25">
      <c r="A20" s="185">
        <v>19</v>
      </c>
      <c r="B20" s="4">
        <v>100</v>
      </c>
      <c r="C20" s="4">
        <v>88</v>
      </c>
      <c r="D20" s="4">
        <f t="shared" si="0"/>
        <v>12</v>
      </c>
      <c r="E20" s="13">
        <v>-29262</v>
      </c>
      <c r="F20" s="14">
        <f t="shared" si="1"/>
        <v>749104</v>
      </c>
      <c r="G20" s="13">
        <f>489120+20000+4000</f>
        <v>513120</v>
      </c>
      <c r="H20" s="13">
        <v>233964</v>
      </c>
      <c r="I20" s="13">
        <v>2020</v>
      </c>
      <c r="J20" s="186">
        <f t="shared" si="2"/>
        <v>719842</v>
      </c>
      <c r="K20" s="14">
        <f t="shared" si="3"/>
        <v>766939</v>
      </c>
      <c r="L20" s="13">
        <v>452152</v>
      </c>
      <c r="M20" s="13">
        <v>35914</v>
      </c>
      <c r="N20" s="13">
        <v>80913</v>
      </c>
      <c r="O20" s="13">
        <v>11232</v>
      </c>
      <c r="P20" s="13">
        <v>0</v>
      </c>
      <c r="Q20" s="13">
        <v>23827</v>
      </c>
      <c r="R20" s="13">
        <v>61196</v>
      </c>
      <c r="S20" s="13">
        <f t="shared" si="4"/>
        <v>101705</v>
      </c>
      <c r="T20" s="13">
        <v>-47097</v>
      </c>
      <c r="U20" s="186">
        <f t="shared" si="5"/>
        <v>719842</v>
      </c>
      <c r="V20" s="187">
        <f t="shared" si="6"/>
        <v>600</v>
      </c>
    </row>
    <row r="21" spans="1:22" ht="11.25">
      <c r="A21" s="185" t="s">
        <v>171</v>
      </c>
      <c r="B21" s="4">
        <v>80</v>
      </c>
      <c r="C21" s="4">
        <v>77</v>
      </c>
      <c r="D21" s="4">
        <f t="shared" si="0"/>
        <v>3</v>
      </c>
      <c r="E21" s="13">
        <v>8581</v>
      </c>
      <c r="F21" s="14">
        <f t="shared" si="1"/>
        <v>588188</v>
      </c>
      <c r="G21" s="13">
        <v>396840</v>
      </c>
      <c r="H21" s="13">
        <v>191248</v>
      </c>
      <c r="I21" s="13">
        <v>100</v>
      </c>
      <c r="J21" s="186">
        <f t="shared" si="2"/>
        <v>596769</v>
      </c>
      <c r="K21" s="14">
        <f t="shared" si="3"/>
        <v>581232</v>
      </c>
      <c r="L21" s="13">
        <v>317660</v>
      </c>
      <c r="M21" s="13">
        <v>25587</v>
      </c>
      <c r="N21" s="13">
        <v>57647</v>
      </c>
      <c r="O21" s="13">
        <v>8002</v>
      </c>
      <c r="P21" s="13">
        <v>2000</v>
      </c>
      <c r="Q21" s="13">
        <v>18977</v>
      </c>
      <c r="R21" s="13">
        <v>50000</v>
      </c>
      <c r="S21" s="13">
        <f t="shared" si="4"/>
        <v>101359</v>
      </c>
      <c r="T21" s="13">
        <v>15537</v>
      </c>
      <c r="U21" s="186">
        <f t="shared" si="5"/>
        <v>596769</v>
      </c>
      <c r="V21" s="187">
        <f t="shared" si="6"/>
        <v>622</v>
      </c>
    </row>
    <row r="22" spans="1:22" ht="11.25">
      <c r="A22" s="185">
        <v>22</v>
      </c>
      <c r="B22" s="4">
        <v>116</v>
      </c>
      <c r="C22" s="4">
        <v>98</v>
      </c>
      <c r="D22" s="4">
        <f t="shared" si="0"/>
        <v>18</v>
      </c>
      <c r="E22" s="13">
        <v>16049</v>
      </c>
      <c r="F22" s="14">
        <f t="shared" si="1"/>
        <v>816832</v>
      </c>
      <c r="G22" s="13">
        <v>563952</v>
      </c>
      <c r="H22" s="13">
        <v>252580</v>
      </c>
      <c r="I22" s="13">
        <v>300</v>
      </c>
      <c r="J22" s="186">
        <f t="shared" si="2"/>
        <v>832881</v>
      </c>
      <c r="K22" s="14">
        <f t="shared" si="3"/>
        <v>869188</v>
      </c>
      <c r="L22" s="13">
        <v>534840</v>
      </c>
      <c r="M22" s="13">
        <v>43173</v>
      </c>
      <c r="N22" s="13">
        <v>97268</v>
      </c>
      <c r="O22" s="13">
        <v>13502</v>
      </c>
      <c r="P22" s="13">
        <v>2000</v>
      </c>
      <c r="Q22" s="13">
        <v>27649</v>
      </c>
      <c r="R22" s="13">
        <v>68874</v>
      </c>
      <c r="S22" s="13">
        <f t="shared" si="4"/>
        <v>81882</v>
      </c>
      <c r="T22" s="13">
        <v>-36307</v>
      </c>
      <c r="U22" s="186">
        <f t="shared" si="5"/>
        <v>832881</v>
      </c>
      <c r="V22" s="187">
        <f t="shared" si="6"/>
        <v>598</v>
      </c>
    </row>
    <row r="23" spans="1:22" ht="11.25">
      <c r="A23" s="185">
        <v>23</v>
      </c>
      <c r="B23" s="4">
        <v>108</v>
      </c>
      <c r="C23" s="4">
        <v>108</v>
      </c>
      <c r="D23" s="4">
        <f t="shared" si="0"/>
        <v>0</v>
      </c>
      <c r="E23" s="13">
        <v>47777</v>
      </c>
      <c r="F23" s="14">
        <f t="shared" si="1"/>
        <v>775024</v>
      </c>
      <c r="G23" s="13">
        <v>510624</v>
      </c>
      <c r="H23" s="13">
        <v>257200</v>
      </c>
      <c r="I23" s="13">
        <v>7200</v>
      </c>
      <c r="J23" s="186">
        <f t="shared" si="2"/>
        <v>822801</v>
      </c>
      <c r="K23" s="14">
        <f t="shared" si="3"/>
        <v>779555</v>
      </c>
      <c r="L23" s="13">
        <v>403759</v>
      </c>
      <c r="M23" s="13">
        <v>33563</v>
      </c>
      <c r="N23" s="13">
        <v>75617</v>
      </c>
      <c r="O23" s="13">
        <v>10496</v>
      </c>
      <c r="P23" s="13">
        <v>2500</v>
      </c>
      <c r="Q23" s="13">
        <v>23752</v>
      </c>
      <c r="R23" s="13">
        <v>85000</v>
      </c>
      <c r="S23" s="13">
        <f t="shared" si="4"/>
        <v>144868</v>
      </c>
      <c r="T23" s="13">
        <v>43246</v>
      </c>
      <c r="U23" s="186">
        <f t="shared" si="5"/>
        <v>822801</v>
      </c>
      <c r="V23" s="187">
        <f t="shared" si="6"/>
        <v>635</v>
      </c>
    </row>
    <row r="24" spans="1:22" ht="11.25">
      <c r="A24" s="185">
        <v>24</v>
      </c>
      <c r="B24" s="4">
        <v>114</v>
      </c>
      <c r="C24" s="4">
        <v>106</v>
      </c>
      <c r="D24" s="4">
        <f t="shared" si="0"/>
        <v>8</v>
      </c>
      <c r="E24" s="13">
        <v>23350</v>
      </c>
      <c r="F24" s="14">
        <f t="shared" si="1"/>
        <v>801167</v>
      </c>
      <c r="G24" s="13">
        <v>534384</v>
      </c>
      <c r="H24" s="13">
        <v>264783</v>
      </c>
      <c r="I24" s="13">
        <v>2000</v>
      </c>
      <c r="J24" s="186">
        <f t="shared" si="2"/>
        <v>824517</v>
      </c>
      <c r="K24" s="14">
        <f t="shared" si="3"/>
        <v>803517</v>
      </c>
      <c r="L24" s="13">
        <v>437895</v>
      </c>
      <c r="M24" s="13">
        <v>37031</v>
      </c>
      <c r="N24" s="13">
        <v>83429</v>
      </c>
      <c r="O24" s="13">
        <v>11581</v>
      </c>
      <c r="P24" s="13">
        <v>0</v>
      </c>
      <c r="Q24" s="13">
        <v>26551</v>
      </c>
      <c r="R24" s="13">
        <v>64002</v>
      </c>
      <c r="S24" s="13">
        <f t="shared" si="4"/>
        <v>143028</v>
      </c>
      <c r="T24" s="13">
        <v>21000</v>
      </c>
      <c r="U24" s="186">
        <f t="shared" si="5"/>
        <v>824517</v>
      </c>
      <c r="V24" s="187">
        <f t="shared" si="6"/>
        <v>603</v>
      </c>
    </row>
    <row r="25" spans="1:22" ht="11.25">
      <c r="A25" s="185">
        <v>25</v>
      </c>
      <c r="B25" s="4">
        <v>100</v>
      </c>
      <c r="C25" s="4">
        <v>90</v>
      </c>
      <c r="D25" s="4">
        <f t="shared" si="0"/>
        <v>10</v>
      </c>
      <c r="E25" s="13">
        <v>801</v>
      </c>
      <c r="F25" s="14">
        <f t="shared" si="1"/>
        <v>731198</v>
      </c>
      <c r="G25" s="13">
        <f>490800+20000+4500</f>
        <v>515300</v>
      </c>
      <c r="H25" s="13">
        <v>212058</v>
      </c>
      <c r="I25" s="13">
        <v>3840</v>
      </c>
      <c r="J25" s="186">
        <f t="shared" si="2"/>
        <v>731999</v>
      </c>
      <c r="K25" s="14">
        <f t="shared" si="3"/>
        <v>747999</v>
      </c>
      <c r="L25" s="13">
        <v>447713</v>
      </c>
      <c r="M25" s="13">
        <v>35330</v>
      </c>
      <c r="N25" s="13">
        <v>79597</v>
      </c>
      <c r="O25" s="13">
        <v>11049</v>
      </c>
      <c r="P25" s="13">
        <v>0</v>
      </c>
      <c r="Q25" s="13">
        <v>24321</v>
      </c>
      <c r="R25" s="13">
        <v>53448</v>
      </c>
      <c r="S25" s="13">
        <f t="shared" si="4"/>
        <v>96541</v>
      </c>
      <c r="T25" s="13">
        <v>-16000</v>
      </c>
      <c r="U25" s="186">
        <f t="shared" si="5"/>
        <v>731999</v>
      </c>
      <c r="V25" s="187">
        <f t="shared" si="6"/>
        <v>610</v>
      </c>
    </row>
    <row r="26" spans="1:22" ht="11.25">
      <c r="A26" s="185">
        <v>26</v>
      </c>
      <c r="B26" s="4">
        <v>160</v>
      </c>
      <c r="C26" s="4">
        <v>120</v>
      </c>
      <c r="D26" s="4">
        <f t="shared" si="0"/>
        <v>40</v>
      </c>
      <c r="E26" s="13">
        <v>18726</v>
      </c>
      <c r="F26" s="14">
        <f t="shared" si="1"/>
        <v>1003076</v>
      </c>
      <c r="G26" s="13">
        <f>733440+2000</f>
        <v>735440</v>
      </c>
      <c r="H26" s="13">
        <v>266636</v>
      </c>
      <c r="I26" s="13">
        <v>1000</v>
      </c>
      <c r="J26" s="186">
        <f t="shared" si="2"/>
        <v>1021802</v>
      </c>
      <c r="K26" s="14">
        <f t="shared" si="3"/>
        <v>944802</v>
      </c>
      <c r="L26" s="13">
        <v>547038</v>
      </c>
      <c r="M26" s="13">
        <v>43936</v>
      </c>
      <c r="N26" s="13">
        <v>98987</v>
      </c>
      <c r="O26" s="13">
        <v>13740</v>
      </c>
      <c r="P26" s="13">
        <v>3600</v>
      </c>
      <c r="Q26" s="13">
        <v>31908</v>
      </c>
      <c r="R26" s="13">
        <v>76840</v>
      </c>
      <c r="S26" s="13">
        <f t="shared" si="4"/>
        <v>128753</v>
      </c>
      <c r="T26" s="13">
        <v>77000</v>
      </c>
      <c r="U26" s="186">
        <f t="shared" si="5"/>
        <v>1021802</v>
      </c>
      <c r="V26" s="187">
        <f t="shared" si="6"/>
        <v>532</v>
      </c>
    </row>
    <row r="27" spans="1:22" ht="11.25">
      <c r="A27" s="185">
        <v>27</v>
      </c>
      <c r="B27" s="4">
        <v>110</v>
      </c>
      <c r="C27" s="4">
        <v>97</v>
      </c>
      <c r="D27" s="4">
        <f t="shared" si="0"/>
        <v>13</v>
      </c>
      <c r="E27" s="13">
        <v>-21843</v>
      </c>
      <c r="F27" s="14">
        <f t="shared" si="1"/>
        <v>829555</v>
      </c>
      <c r="G27" s="13">
        <f>538200+5500</f>
        <v>543700</v>
      </c>
      <c r="H27" s="13">
        <v>284355</v>
      </c>
      <c r="I27" s="13">
        <v>1500</v>
      </c>
      <c r="J27" s="186">
        <f t="shared" si="2"/>
        <v>807712</v>
      </c>
      <c r="K27" s="14">
        <f t="shared" si="3"/>
        <v>895092</v>
      </c>
      <c r="L27" s="13">
        <v>557031</v>
      </c>
      <c r="M27" s="13">
        <v>46042</v>
      </c>
      <c r="N27" s="13">
        <v>103732</v>
      </c>
      <c r="O27" s="13">
        <v>14399</v>
      </c>
      <c r="P27" s="13">
        <v>0</v>
      </c>
      <c r="Q27" s="13">
        <v>28188</v>
      </c>
      <c r="R27" s="13">
        <v>65000</v>
      </c>
      <c r="S27" s="13">
        <f t="shared" si="4"/>
        <v>80700</v>
      </c>
      <c r="T27" s="13">
        <v>-87380</v>
      </c>
      <c r="U27" s="186">
        <f t="shared" si="5"/>
        <v>807712</v>
      </c>
      <c r="V27" s="187">
        <f t="shared" si="6"/>
        <v>612</v>
      </c>
    </row>
    <row r="28" spans="1:22" ht="11.25">
      <c r="A28" s="185">
        <v>28</v>
      </c>
      <c r="B28" s="4">
        <v>126</v>
      </c>
      <c r="C28" s="4">
        <v>107</v>
      </c>
      <c r="D28" s="4">
        <f t="shared" si="0"/>
        <v>19</v>
      </c>
      <c r="E28" s="13">
        <v>89</v>
      </c>
      <c r="F28" s="14">
        <f t="shared" si="1"/>
        <v>902941</v>
      </c>
      <c r="G28" s="13">
        <v>584784</v>
      </c>
      <c r="H28" s="13">
        <v>316157</v>
      </c>
      <c r="I28" s="13">
        <v>2000</v>
      </c>
      <c r="J28" s="186">
        <f t="shared" si="2"/>
        <v>903030</v>
      </c>
      <c r="K28" s="14">
        <f t="shared" si="3"/>
        <v>902810</v>
      </c>
      <c r="L28" s="13">
        <v>526812</v>
      </c>
      <c r="M28" s="13">
        <v>40987</v>
      </c>
      <c r="N28" s="13">
        <v>92342</v>
      </c>
      <c r="O28" s="13">
        <v>12818</v>
      </c>
      <c r="P28" s="13">
        <v>3000</v>
      </c>
      <c r="Q28" s="13">
        <v>29320</v>
      </c>
      <c r="R28" s="13">
        <v>94706</v>
      </c>
      <c r="S28" s="13">
        <f t="shared" si="4"/>
        <v>102825</v>
      </c>
      <c r="T28" s="13">
        <v>220</v>
      </c>
      <c r="U28" s="186">
        <f t="shared" si="5"/>
        <v>903030</v>
      </c>
      <c r="V28" s="187">
        <f t="shared" si="6"/>
        <v>597</v>
      </c>
    </row>
    <row r="29" spans="1:22" ht="11.25">
      <c r="A29" s="185">
        <v>29</v>
      </c>
      <c r="B29" s="4">
        <v>135</v>
      </c>
      <c r="C29" s="4">
        <v>110</v>
      </c>
      <c r="D29" s="4">
        <f t="shared" si="0"/>
        <v>25</v>
      </c>
      <c r="E29" s="13">
        <v>-29570</v>
      </c>
      <c r="F29" s="14">
        <f t="shared" si="1"/>
        <v>950226</v>
      </c>
      <c r="G29" s="13">
        <v>623880</v>
      </c>
      <c r="H29" s="13">
        <v>325546</v>
      </c>
      <c r="I29" s="13">
        <v>800</v>
      </c>
      <c r="J29" s="186">
        <f t="shared" si="2"/>
        <v>920656</v>
      </c>
      <c r="K29" s="14">
        <f t="shared" si="3"/>
        <v>904091</v>
      </c>
      <c r="L29" s="13">
        <v>526596</v>
      </c>
      <c r="M29" s="13">
        <v>43212</v>
      </c>
      <c r="N29" s="13">
        <v>97355</v>
      </c>
      <c r="O29" s="13">
        <v>13514</v>
      </c>
      <c r="P29" s="13">
        <v>1900</v>
      </c>
      <c r="Q29" s="13">
        <v>31614</v>
      </c>
      <c r="R29" s="13">
        <v>69000</v>
      </c>
      <c r="S29" s="13">
        <f t="shared" si="4"/>
        <v>120900</v>
      </c>
      <c r="T29" s="13">
        <v>16565</v>
      </c>
      <c r="U29" s="186">
        <f t="shared" si="5"/>
        <v>920656</v>
      </c>
      <c r="V29" s="187">
        <f t="shared" si="6"/>
        <v>568</v>
      </c>
    </row>
    <row r="30" spans="1:22" ht="11.25">
      <c r="A30" s="185">
        <v>30</v>
      </c>
      <c r="B30" s="4">
        <v>103</v>
      </c>
      <c r="C30" s="4">
        <v>61</v>
      </c>
      <c r="D30" s="4">
        <f t="shared" si="0"/>
        <v>42</v>
      </c>
      <c r="E30" s="13">
        <v>27903</v>
      </c>
      <c r="F30" s="14">
        <f t="shared" si="1"/>
        <v>680159</v>
      </c>
      <c r="G30" s="13">
        <v>515760</v>
      </c>
      <c r="H30" s="13">
        <v>162399</v>
      </c>
      <c r="I30" s="13">
        <v>2000</v>
      </c>
      <c r="J30" s="186">
        <f t="shared" si="2"/>
        <v>708062</v>
      </c>
      <c r="K30" s="14">
        <f t="shared" si="3"/>
        <v>680619</v>
      </c>
      <c r="L30" s="13">
        <v>393733</v>
      </c>
      <c r="M30" s="13">
        <v>33062</v>
      </c>
      <c r="N30" s="13">
        <v>74487</v>
      </c>
      <c r="O30" s="13">
        <v>10340</v>
      </c>
      <c r="P30" s="13">
        <v>0</v>
      </c>
      <c r="Q30" s="13">
        <v>22419</v>
      </c>
      <c r="R30" s="13">
        <v>52578</v>
      </c>
      <c r="S30" s="13">
        <f t="shared" si="4"/>
        <v>94000</v>
      </c>
      <c r="T30" s="13">
        <v>27443</v>
      </c>
      <c r="U30" s="186">
        <f t="shared" si="5"/>
        <v>708062</v>
      </c>
      <c r="V30" s="187">
        <f t="shared" si="6"/>
        <v>573</v>
      </c>
    </row>
    <row r="31" spans="1:22" ht="11.25">
      <c r="A31" s="185" t="s">
        <v>172</v>
      </c>
      <c r="B31" s="4">
        <v>108</v>
      </c>
      <c r="C31" s="4">
        <v>90</v>
      </c>
      <c r="D31" s="4">
        <f t="shared" si="0"/>
        <v>18</v>
      </c>
      <c r="E31" s="13">
        <v>20239</v>
      </c>
      <c r="F31" s="14">
        <f t="shared" si="1"/>
        <v>799718</v>
      </c>
      <c r="G31" s="13">
        <f>524016+20000+1500</f>
        <v>545516</v>
      </c>
      <c r="H31" s="13">
        <v>253202</v>
      </c>
      <c r="I31" s="13">
        <v>1000</v>
      </c>
      <c r="J31" s="186">
        <f t="shared" si="2"/>
        <v>819957</v>
      </c>
      <c r="K31" s="14">
        <f t="shared" si="3"/>
        <v>813633</v>
      </c>
      <c r="L31" s="13">
        <v>451425</v>
      </c>
      <c r="M31" s="13">
        <v>37593</v>
      </c>
      <c r="N31" s="13">
        <v>84696</v>
      </c>
      <c r="O31" s="13">
        <v>11757</v>
      </c>
      <c r="P31" s="13">
        <v>0</v>
      </c>
      <c r="Q31" s="13">
        <v>24413</v>
      </c>
      <c r="R31" s="13">
        <v>65010</v>
      </c>
      <c r="S31" s="13">
        <f t="shared" si="4"/>
        <v>138739</v>
      </c>
      <c r="T31" s="13">
        <v>6324</v>
      </c>
      <c r="U31" s="186">
        <f t="shared" si="5"/>
        <v>819957</v>
      </c>
      <c r="V31" s="187">
        <f t="shared" si="6"/>
        <v>633</v>
      </c>
    </row>
    <row r="32" spans="1:22" ht="11.25">
      <c r="A32" s="185">
        <v>32</v>
      </c>
      <c r="B32" s="4">
        <v>140</v>
      </c>
      <c r="C32" s="4">
        <v>119</v>
      </c>
      <c r="D32" s="4">
        <f t="shared" si="0"/>
        <v>21</v>
      </c>
      <c r="E32" s="13">
        <v>-8267</v>
      </c>
      <c r="F32" s="14">
        <f t="shared" si="1"/>
        <v>1030228</v>
      </c>
      <c r="G32" s="13">
        <f>649824+30000+4000</f>
        <v>683824</v>
      </c>
      <c r="H32" s="13">
        <v>345404</v>
      </c>
      <c r="I32" s="13">
        <v>1000</v>
      </c>
      <c r="J32" s="186">
        <f t="shared" si="2"/>
        <v>1021961</v>
      </c>
      <c r="K32" s="14">
        <f t="shared" si="3"/>
        <v>1050207</v>
      </c>
      <c r="L32" s="13">
        <v>618419</v>
      </c>
      <c r="M32" s="13">
        <v>48675</v>
      </c>
      <c r="N32" s="13">
        <v>109664</v>
      </c>
      <c r="O32" s="13">
        <v>15223</v>
      </c>
      <c r="P32" s="13">
        <v>0</v>
      </c>
      <c r="Q32" s="13">
        <v>30326</v>
      </c>
      <c r="R32" s="13">
        <v>90000</v>
      </c>
      <c r="S32" s="13">
        <f t="shared" si="4"/>
        <v>137900</v>
      </c>
      <c r="T32" s="13">
        <v>-28246</v>
      </c>
      <c r="U32" s="186">
        <f t="shared" si="5"/>
        <v>1021961</v>
      </c>
      <c r="V32" s="187">
        <f t="shared" si="6"/>
        <v>608</v>
      </c>
    </row>
    <row r="33" spans="1:22" ht="11.25">
      <c r="A33" s="185">
        <v>35</v>
      </c>
      <c r="B33" s="4">
        <v>130</v>
      </c>
      <c r="C33" s="4">
        <v>80</v>
      </c>
      <c r="D33" s="4">
        <f t="shared" si="0"/>
        <v>50</v>
      </c>
      <c r="E33" s="13">
        <v>-15788</v>
      </c>
      <c r="F33" s="14">
        <f t="shared" si="1"/>
        <v>813256</v>
      </c>
      <c r="G33" s="13">
        <v>606960</v>
      </c>
      <c r="H33" s="13">
        <v>201896</v>
      </c>
      <c r="I33" s="13">
        <v>4400</v>
      </c>
      <c r="J33" s="186">
        <f t="shared" si="2"/>
        <v>797468</v>
      </c>
      <c r="K33" s="14">
        <f t="shared" si="3"/>
        <v>807099</v>
      </c>
      <c r="L33" s="13">
        <v>475069</v>
      </c>
      <c r="M33" s="13">
        <v>39438</v>
      </c>
      <c r="N33" s="13">
        <v>88853</v>
      </c>
      <c r="O33" s="13">
        <v>12334</v>
      </c>
      <c r="P33" s="13">
        <v>3000</v>
      </c>
      <c r="Q33" s="13">
        <v>25944</v>
      </c>
      <c r="R33" s="13">
        <v>52077</v>
      </c>
      <c r="S33" s="13">
        <f t="shared" si="4"/>
        <v>110384</v>
      </c>
      <c r="T33" s="13">
        <v>-9631</v>
      </c>
      <c r="U33" s="186">
        <f t="shared" si="5"/>
        <v>797468</v>
      </c>
      <c r="V33" s="187">
        <f t="shared" si="6"/>
        <v>511</v>
      </c>
    </row>
    <row r="34" spans="1:22" ht="11.25">
      <c r="A34" s="185">
        <v>36</v>
      </c>
      <c r="B34" s="4">
        <v>81</v>
      </c>
      <c r="C34" s="4">
        <v>64</v>
      </c>
      <c r="D34" s="4">
        <f t="shared" si="0"/>
        <v>17</v>
      </c>
      <c r="E34" s="13">
        <v>23280</v>
      </c>
      <c r="F34" s="14">
        <f t="shared" si="1"/>
        <v>606120</v>
      </c>
      <c r="G34" s="13">
        <f>417720+3000</f>
        <v>420720</v>
      </c>
      <c r="H34" s="13">
        <v>183200</v>
      </c>
      <c r="I34" s="13">
        <v>2200</v>
      </c>
      <c r="J34" s="186">
        <f t="shared" si="2"/>
        <v>629400</v>
      </c>
      <c r="K34" s="14">
        <f t="shared" si="3"/>
        <v>617091</v>
      </c>
      <c r="L34" s="13">
        <v>356490</v>
      </c>
      <c r="M34" s="13">
        <v>29081</v>
      </c>
      <c r="N34" s="13">
        <v>65519</v>
      </c>
      <c r="O34" s="13">
        <v>9095</v>
      </c>
      <c r="P34" s="13">
        <v>0</v>
      </c>
      <c r="Q34" s="13">
        <v>18356</v>
      </c>
      <c r="R34" s="13">
        <v>62000</v>
      </c>
      <c r="S34" s="13">
        <f t="shared" si="4"/>
        <v>76550</v>
      </c>
      <c r="T34" s="13">
        <v>12309</v>
      </c>
      <c r="U34" s="186">
        <f t="shared" si="5"/>
        <v>629400</v>
      </c>
      <c r="V34" s="187">
        <f t="shared" si="6"/>
        <v>648</v>
      </c>
    </row>
    <row r="35" spans="1:22" ht="11.25">
      <c r="A35" s="185">
        <v>42</v>
      </c>
      <c r="B35" s="4">
        <v>125</v>
      </c>
      <c r="C35" s="4">
        <v>55</v>
      </c>
      <c r="D35" s="4">
        <f t="shared" si="0"/>
        <v>70</v>
      </c>
      <c r="E35" s="13">
        <v>40985</v>
      </c>
      <c r="F35" s="14">
        <f t="shared" si="1"/>
        <v>818172</v>
      </c>
      <c r="G35" s="13">
        <v>588960</v>
      </c>
      <c r="H35" s="13">
        <v>226712</v>
      </c>
      <c r="I35" s="13">
        <v>2500</v>
      </c>
      <c r="J35" s="186">
        <f t="shared" si="2"/>
        <v>859157</v>
      </c>
      <c r="K35" s="14">
        <f t="shared" si="3"/>
        <v>806032</v>
      </c>
      <c r="L35" s="13">
        <v>399186</v>
      </c>
      <c r="M35" s="13">
        <v>33099</v>
      </c>
      <c r="N35" s="13">
        <v>74572</v>
      </c>
      <c r="O35" s="13">
        <v>10351</v>
      </c>
      <c r="P35" s="13">
        <v>0</v>
      </c>
      <c r="Q35" s="13">
        <v>25680</v>
      </c>
      <c r="R35" s="13">
        <v>80395</v>
      </c>
      <c r="S35" s="13">
        <f t="shared" si="4"/>
        <v>182749</v>
      </c>
      <c r="T35" s="13">
        <v>53125</v>
      </c>
      <c r="U35" s="186">
        <f t="shared" si="5"/>
        <v>859157</v>
      </c>
      <c r="V35" s="187">
        <f t="shared" si="6"/>
        <v>573</v>
      </c>
    </row>
    <row r="36" spans="1:22" ht="11.25">
      <c r="A36" s="185">
        <v>43</v>
      </c>
      <c r="B36" s="4">
        <v>104</v>
      </c>
      <c r="C36" s="4">
        <v>75</v>
      </c>
      <c r="D36" s="4">
        <f t="shared" si="0"/>
        <v>29</v>
      </c>
      <c r="E36" s="13">
        <v>20192</v>
      </c>
      <c r="F36" s="14">
        <f t="shared" si="1"/>
        <v>743421</v>
      </c>
      <c r="G36" s="13">
        <v>527208</v>
      </c>
      <c r="H36" s="13">
        <v>213013</v>
      </c>
      <c r="I36" s="13">
        <v>3200</v>
      </c>
      <c r="J36" s="186">
        <f t="shared" si="2"/>
        <v>763613</v>
      </c>
      <c r="K36" s="14">
        <f t="shared" si="3"/>
        <v>762660</v>
      </c>
      <c r="L36" s="13">
        <v>414789</v>
      </c>
      <c r="M36" s="13">
        <v>34615</v>
      </c>
      <c r="N36" s="13">
        <v>77987</v>
      </c>
      <c r="O36" s="13">
        <v>10825</v>
      </c>
      <c r="P36" s="13">
        <v>1000</v>
      </c>
      <c r="Q36" s="13">
        <v>22871</v>
      </c>
      <c r="R36" s="13">
        <v>60000</v>
      </c>
      <c r="S36" s="13">
        <f t="shared" si="4"/>
        <v>140573</v>
      </c>
      <c r="T36" s="13">
        <v>953</v>
      </c>
      <c r="U36" s="186">
        <f t="shared" si="5"/>
        <v>763613</v>
      </c>
      <c r="V36" s="187">
        <f t="shared" si="6"/>
        <v>612</v>
      </c>
    </row>
    <row r="37" spans="1:22" ht="11.25">
      <c r="A37" s="185">
        <v>44</v>
      </c>
      <c r="B37" s="4">
        <v>200</v>
      </c>
      <c r="C37" s="4">
        <v>195</v>
      </c>
      <c r="D37" s="4">
        <f t="shared" si="0"/>
        <v>5</v>
      </c>
      <c r="E37" s="13">
        <v>10748</v>
      </c>
      <c r="F37" s="14">
        <f t="shared" si="1"/>
        <v>1436481</v>
      </c>
      <c r="G37" s="13">
        <v>863160</v>
      </c>
      <c r="H37" s="13">
        <v>567321</v>
      </c>
      <c r="I37" s="13">
        <v>6000</v>
      </c>
      <c r="J37" s="186">
        <f t="shared" si="2"/>
        <v>1447229</v>
      </c>
      <c r="K37" s="14">
        <f t="shared" si="3"/>
        <v>1436389</v>
      </c>
      <c r="L37" s="13">
        <v>810796</v>
      </c>
      <c r="M37" s="13">
        <v>66046</v>
      </c>
      <c r="N37" s="13">
        <v>148800</v>
      </c>
      <c r="O37" s="13">
        <v>20655</v>
      </c>
      <c r="P37" s="13">
        <v>3400</v>
      </c>
      <c r="Q37" s="13">
        <v>41632</v>
      </c>
      <c r="R37" s="13">
        <v>151000</v>
      </c>
      <c r="S37" s="13">
        <f t="shared" si="4"/>
        <v>194060</v>
      </c>
      <c r="T37" s="13">
        <v>10840</v>
      </c>
      <c r="U37" s="186">
        <f t="shared" si="5"/>
        <v>1447229</v>
      </c>
      <c r="V37" s="187">
        <f t="shared" si="6"/>
        <v>603</v>
      </c>
    </row>
    <row r="38" spans="1:22" ht="11.25">
      <c r="A38" s="185">
        <v>46</v>
      </c>
      <c r="B38" s="4">
        <v>160</v>
      </c>
      <c r="C38" s="4">
        <v>110</v>
      </c>
      <c r="D38" s="4">
        <f t="shared" si="0"/>
        <v>50</v>
      </c>
      <c r="E38" s="13">
        <v>56102</v>
      </c>
      <c r="F38" s="14">
        <f t="shared" si="1"/>
        <v>1001291</v>
      </c>
      <c r="G38" s="13">
        <v>727680</v>
      </c>
      <c r="H38" s="13">
        <v>272111</v>
      </c>
      <c r="I38" s="13">
        <v>1500</v>
      </c>
      <c r="J38" s="186">
        <f t="shared" si="2"/>
        <v>1057393</v>
      </c>
      <c r="K38" s="14">
        <f t="shared" si="3"/>
        <v>1012790</v>
      </c>
      <c r="L38" s="13">
        <v>584913</v>
      </c>
      <c r="M38" s="13">
        <v>49499</v>
      </c>
      <c r="N38" s="13">
        <v>111519</v>
      </c>
      <c r="O38" s="13">
        <v>15480</v>
      </c>
      <c r="P38" s="13">
        <v>0</v>
      </c>
      <c r="Q38" s="13">
        <v>32574</v>
      </c>
      <c r="R38" s="13">
        <v>79685</v>
      </c>
      <c r="S38" s="13">
        <f t="shared" si="4"/>
        <v>139120</v>
      </c>
      <c r="T38" s="13">
        <v>44603</v>
      </c>
      <c r="U38" s="186">
        <f t="shared" si="5"/>
        <v>1057393</v>
      </c>
      <c r="V38" s="187">
        <f t="shared" si="6"/>
        <v>551</v>
      </c>
    </row>
    <row r="39" spans="1:22" ht="11.25">
      <c r="A39" s="185">
        <v>47</v>
      </c>
      <c r="B39" s="4">
        <v>100</v>
      </c>
      <c r="C39" s="4">
        <v>80</v>
      </c>
      <c r="D39" s="4">
        <f t="shared" si="0"/>
        <v>20</v>
      </c>
      <c r="E39" s="13">
        <v>86247</v>
      </c>
      <c r="F39" s="14">
        <f t="shared" si="1"/>
        <v>689536</v>
      </c>
      <c r="G39" s="13">
        <v>482400</v>
      </c>
      <c r="H39" s="13">
        <v>204136</v>
      </c>
      <c r="I39" s="13">
        <v>3000</v>
      </c>
      <c r="J39" s="186">
        <f t="shared" si="2"/>
        <v>775783</v>
      </c>
      <c r="K39" s="14">
        <f t="shared" si="3"/>
        <v>773566</v>
      </c>
      <c r="L39" s="13">
        <v>487247</v>
      </c>
      <c r="M39" s="13">
        <v>36567</v>
      </c>
      <c r="N39" s="13">
        <v>82384</v>
      </c>
      <c r="O39" s="13">
        <v>11436</v>
      </c>
      <c r="P39" s="13">
        <v>1000</v>
      </c>
      <c r="Q39" s="13">
        <v>27689</v>
      </c>
      <c r="R39" s="13">
        <v>48800</v>
      </c>
      <c r="S39" s="13">
        <f t="shared" si="4"/>
        <v>78443</v>
      </c>
      <c r="T39" s="13">
        <v>2217</v>
      </c>
      <c r="U39" s="186">
        <f t="shared" si="5"/>
        <v>775783</v>
      </c>
      <c r="V39" s="187">
        <f t="shared" si="6"/>
        <v>646</v>
      </c>
    </row>
    <row r="40" spans="1:22" ht="11.25">
      <c r="A40" s="185">
        <v>48</v>
      </c>
      <c r="B40" s="4">
        <v>175</v>
      </c>
      <c r="C40" s="4">
        <v>120</v>
      </c>
      <c r="D40" s="4">
        <f t="shared" si="0"/>
        <v>55</v>
      </c>
      <c r="E40" s="13">
        <v>44445</v>
      </c>
      <c r="F40" s="14">
        <f t="shared" si="1"/>
        <v>1184096</v>
      </c>
      <c r="G40" s="13">
        <f>795720</f>
        <v>795720</v>
      </c>
      <c r="H40" s="13">
        <v>386876</v>
      </c>
      <c r="I40" s="13">
        <v>1500</v>
      </c>
      <c r="J40" s="186">
        <f t="shared" si="2"/>
        <v>1228541</v>
      </c>
      <c r="K40" s="14">
        <f t="shared" si="3"/>
        <v>1211074</v>
      </c>
      <c r="L40" s="13">
        <v>653082</v>
      </c>
      <c r="M40" s="13">
        <v>51458</v>
      </c>
      <c r="N40" s="13">
        <v>115934</v>
      </c>
      <c r="O40" s="13">
        <v>16093</v>
      </c>
      <c r="P40" s="13">
        <v>0</v>
      </c>
      <c r="Q40" s="13">
        <v>37180</v>
      </c>
      <c r="R40" s="13">
        <v>134425</v>
      </c>
      <c r="S40" s="13">
        <f t="shared" si="4"/>
        <v>202902</v>
      </c>
      <c r="T40" s="13">
        <v>17467</v>
      </c>
      <c r="U40" s="186">
        <f t="shared" si="5"/>
        <v>1228541</v>
      </c>
      <c r="V40" s="187">
        <f t="shared" si="6"/>
        <v>585</v>
      </c>
    </row>
    <row r="41" spans="1:22" ht="11.25">
      <c r="A41" s="185">
        <v>49</v>
      </c>
      <c r="B41" s="4">
        <v>108</v>
      </c>
      <c r="C41" s="4">
        <v>94</v>
      </c>
      <c r="D41" s="4">
        <f t="shared" si="0"/>
        <v>14</v>
      </c>
      <c r="E41" s="13">
        <v>-45362</v>
      </c>
      <c r="F41" s="14">
        <f t="shared" si="1"/>
        <v>775508</v>
      </c>
      <c r="G41" s="13">
        <f>527376+1500</f>
        <v>528876</v>
      </c>
      <c r="H41" s="13">
        <v>245600</v>
      </c>
      <c r="I41" s="13">
        <v>1032</v>
      </c>
      <c r="J41" s="186">
        <f t="shared" si="2"/>
        <v>730146</v>
      </c>
      <c r="K41" s="14">
        <f t="shared" si="3"/>
        <v>827058</v>
      </c>
      <c r="L41" s="13">
        <v>494760</v>
      </c>
      <c r="M41" s="13">
        <v>40184</v>
      </c>
      <c r="N41" s="13">
        <v>90534</v>
      </c>
      <c r="O41" s="13">
        <v>12567</v>
      </c>
      <c r="P41" s="13">
        <v>0</v>
      </c>
      <c r="Q41" s="13">
        <v>27259</v>
      </c>
      <c r="R41" s="13">
        <v>58600</v>
      </c>
      <c r="S41" s="13">
        <f t="shared" si="4"/>
        <v>103154</v>
      </c>
      <c r="T41" s="13">
        <v>-96912</v>
      </c>
      <c r="U41" s="186">
        <f t="shared" si="5"/>
        <v>730146</v>
      </c>
      <c r="V41" s="187">
        <f t="shared" si="6"/>
        <v>563</v>
      </c>
    </row>
    <row r="42" spans="1:22" ht="11.25">
      <c r="A42" s="185">
        <v>50</v>
      </c>
      <c r="B42" s="4">
        <v>170</v>
      </c>
      <c r="C42" s="4">
        <v>165</v>
      </c>
      <c r="D42" s="4">
        <f t="shared" si="0"/>
        <v>5</v>
      </c>
      <c r="E42" s="13">
        <v>25114</v>
      </c>
      <c r="F42" s="14">
        <f t="shared" si="1"/>
        <v>1157240</v>
      </c>
      <c r="G42" s="13">
        <v>733560</v>
      </c>
      <c r="H42" s="13">
        <v>417680</v>
      </c>
      <c r="I42" s="13">
        <v>6000</v>
      </c>
      <c r="J42" s="186">
        <f t="shared" si="2"/>
        <v>1182354</v>
      </c>
      <c r="K42" s="14">
        <f t="shared" si="3"/>
        <v>1175479</v>
      </c>
      <c r="L42" s="13">
        <v>693162</v>
      </c>
      <c r="M42" s="13">
        <v>53954</v>
      </c>
      <c r="N42" s="13">
        <v>121557</v>
      </c>
      <c r="O42" s="13">
        <v>16873</v>
      </c>
      <c r="P42" s="13">
        <v>0</v>
      </c>
      <c r="Q42" s="13">
        <v>35733</v>
      </c>
      <c r="R42" s="13">
        <v>87500</v>
      </c>
      <c r="S42" s="13">
        <f t="shared" si="4"/>
        <v>166700</v>
      </c>
      <c r="T42" s="13">
        <v>6875</v>
      </c>
      <c r="U42" s="186">
        <f t="shared" si="5"/>
        <v>1182354</v>
      </c>
      <c r="V42" s="187">
        <f t="shared" si="6"/>
        <v>580</v>
      </c>
    </row>
    <row r="43" spans="1:22" ht="11.25">
      <c r="A43" s="17">
        <v>51</v>
      </c>
      <c r="B43" s="4">
        <v>104</v>
      </c>
      <c r="C43" s="4">
        <v>99</v>
      </c>
      <c r="D43" s="4">
        <f t="shared" si="0"/>
        <v>5</v>
      </c>
      <c r="E43" s="13">
        <v>-10562</v>
      </c>
      <c r="F43" s="14">
        <f t="shared" si="1"/>
        <v>774318</v>
      </c>
      <c r="G43" s="13">
        <v>514968</v>
      </c>
      <c r="H43" s="13">
        <v>256440</v>
      </c>
      <c r="I43" s="13">
        <v>2910</v>
      </c>
      <c r="J43" s="186">
        <f t="shared" si="2"/>
        <v>763756</v>
      </c>
      <c r="K43" s="14">
        <f t="shared" si="3"/>
        <v>774318</v>
      </c>
      <c r="L43" s="13">
        <v>469512</v>
      </c>
      <c r="M43" s="13">
        <v>36637</v>
      </c>
      <c r="N43" s="13">
        <v>82542</v>
      </c>
      <c r="O43" s="13">
        <v>11458</v>
      </c>
      <c r="P43" s="13">
        <v>2000</v>
      </c>
      <c r="Q43" s="13">
        <v>26249</v>
      </c>
      <c r="R43" s="13">
        <v>70021</v>
      </c>
      <c r="S43" s="188">
        <f t="shared" si="4"/>
        <v>75899</v>
      </c>
      <c r="T43" s="13">
        <v>-10562</v>
      </c>
      <c r="U43" s="186">
        <f t="shared" si="5"/>
        <v>763756</v>
      </c>
      <c r="V43" s="14">
        <f t="shared" si="6"/>
        <v>612</v>
      </c>
    </row>
    <row r="44" spans="1:22" ht="12" customHeight="1" thickBot="1">
      <c r="A44" s="189">
        <v>52</v>
      </c>
      <c r="B44" s="190">
        <v>100</v>
      </c>
      <c r="C44" s="190">
        <v>75</v>
      </c>
      <c r="D44" s="190">
        <f t="shared" si="0"/>
        <v>25</v>
      </c>
      <c r="E44" s="188">
        <v>2187</v>
      </c>
      <c r="F44" s="191">
        <f t="shared" si="1"/>
        <v>745184</v>
      </c>
      <c r="G44" s="188">
        <v>510600</v>
      </c>
      <c r="H44" s="188">
        <v>233494</v>
      </c>
      <c r="I44" s="188">
        <v>1090</v>
      </c>
      <c r="J44" s="192">
        <f t="shared" si="2"/>
        <v>747371</v>
      </c>
      <c r="K44" s="191">
        <f t="shared" si="3"/>
        <v>745049</v>
      </c>
      <c r="L44" s="188">
        <v>431775</v>
      </c>
      <c r="M44" s="188">
        <v>36701</v>
      </c>
      <c r="N44" s="188">
        <v>82686</v>
      </c>
      <c r="O44" s="188">
        <v>11478</v>
      </c>
      <c r="P44" s="188">
        <v>2000</v>
      </c>
      <c r="Q44" s="188">
        <v>26503</v>
      </c>
      <c r="R44" s="193">
        <v>74806</v>
      </c>
      <c r="S44" s="188">
        <f t="shared" si="4"/>
        <v>79100</v>
      </c>
      <c r="T44" s="194">
        <v>2322</v>
      </c>
      <c r="U44" s="192">
        <f t="shared" si="5"/>
        <v>747371</v>
      </c>
      <c r="V44" s="191">
        <f t="shared" si="6"/>
        <v>623</v>
      </c>
    </row>
    <row r="45" spans="1:22" ht="12" thickBot="1">
      <c r="A45" s="195">
        <v>85404</v>
      </c>
      <c r="B45" s="196">
        <f>SUM(B8:B44)</f>
        <v>4343</v>
      </c>
      <c r="C45" s="196">
        <f>SUM(C8:C44)</f>
        <v>3540</v>
      </c>
      <c r="D45" s="196">
        <f>SUM(D8:D44)</f>
        <v>803</v>
      </c>
      <c r="E45" s="197">
        <f>SUM(E8:E44)</f>
        <v>400525</v>
      </c>
      <c r="F45" s="198">
        <f t="shared" si="1"/>
        <v>30836798</v>
      </c>
      <c r="G45" s="199">
        <f aca="true" t="shared" si="7" ref="G45:U45">SUM(G8:G44)</f>
        <v>21053387</v>
      </c>
      <c r="H45" s="200">
        <f t="shared" si="7"/>
        <v>9691992</v>
      </c>
      <c r="I45" s="200">
        <f t="shared" si="7"/>
        <v>91419</v>
      </c>
      <c r="J45" s="200">
        <f t="shared" si="7"/>
        <v>31237323</v>
      </c>
      <c r="K45" s="200">
        <f t="shared" si="7"/>
        <v>31252794</v>
      </c>
      <c r="L45" s="200">
        <f t="shared" si="7"/>
        <v>17862325</v>
      </c>
      <c r="M45" s="200">
        <f t="shared" si="7"/>
        <v>1450939</v>
      </c>
      <c r="N45" s="200">
        <f t="shared" si="7"/>
        <v>3268926</v>
      </c>
      <c r="O45" s="200">
        <f t="shared" si="7"/>
        <v>453764</v>
      </c>
      <c r="P45" s="200">
        <f t="shared" si="7"/>
        <v>50200</v>
      </c>
      <c r="Q45" s="200">
        <f t="shared" si="7"/>
        <v>988195</v>
      </c>
      <c r="R45" s="200">
        <f t="shared" si="7"/>
        <v>2669184</v>
      </c>
      <c r="S45" s="200">
        <f t="shared" si="7"/>
        <v>4509261</v>
      </c>
      <c r="T45" s="199">
        <f t="shared" si="7"/>
        <v>-15471</v>
      </c>
      <c r="U45" s="200">
        <f t="shared" si="7"/>
        <v>31237323</v>
      </c>
      <c r="V45" s="201">
        <f t="shared" si="6"/>
        <v>599</v>
      </c>
    </row>
    <row r="46" spans="1:22" ht="12.75" customHeight="1">
      <c r="A46" s="202" t="s">
        <v>173</v>
      </c>
      <c r="B46" s="203"/>
      <c r="C46" s="203"/>
      <c r="D46" s="204"/>
      <c r="E46" s="205"/>
      <c r="F46" s="206">
        <v>18800</v>
      </c>
      <c r="G46" s="207">
        <v>18800</v>
      </c>
      <c r="H46" s="208"/>
      <c r="I46" s="208"/>
      <c r="J46" s="206">
        <v>18800</v>
      </c>
      <c r="K46" s="206">
        <v>18800</v>
      </c>
      <c r="L46" s="206">
        <v>18800</v>
      </c>
      <c r="M46" s="208"/>
      <c r="N46" s="209"/>
      <c r="O46" s="209"/>
      <c r="P46" s="209"/>
      <c r="Q46" s="208"/>
      <c r="R46" s="208"/>
      <c r="S46" s="210"/>
      <c r="T46" s="210"/>
      <c r="U46" s="211">
        <v>18800</v>
      </c>
      <c r="V46" s="208"/>
    </row>
    <row r="47" spans="1:22" ht="13.5" customHeight="1">
      <c r="A47" s="202" t="s">
        <v>174</v>
      </c>
      <c r="B47" s="203"/>
      <c r="C47" s="203"/>
      <c r="D47" s="204"/>
      <c r="E47" s="205"/>
      <c r="F47" s="14">
        <v>4200</v>
      </c>
      <c r="G47" s="207">
        <v>4200</v>
      </c>
      <c r="H47" s="208"/>
      <c r="I47" s="208"/>
      <c r="J47" s="206">
        <v>4200</v>
      </c>
      <c r="K47" s="206">
        <v>4200</v>
      </c>
      <c r="L47" s="206"/>
      <c r="M47" s="208"/>
      <c r="N47" s="209"/>
      <c r="O47" s="209"/>
      <c r="P47" s="209"/>
      <c r="Q47" s="208"/>
      <c r="R47" s="208"/>
      <c r="S47" s="212">
        <v>4200</v>
      </c>
      <c r="T47" s="210"/>
      <c r="U47" s="213">
        <v>4200</v>
      </c>
      <c r="V47" s="208"/>
    </row>
    <row r="48" spans="1:22" ht="11.25">
      <c r="A48" s="17"/>
      <c r="B48" s="4" t="s">
        <v>175</v>
      </c>
      <c r="C48" s="4"/>
      <c r="D48" s="17" t="s">
        <v>176</v>
      </c>
      <c r="E48" s="4"/>
      <c r="F48" s="214">
        <f aca="true" t="shared" si="8" ref="F48:S48">SUM(F45:F47)</f>
        <v>30859798</v>
      </c>
      <c r="G48" s="214">
        <f t="shared" si="8"/>
        <v>21076387</v>
      </c>
      <c r="H48" s="214">
        <f t="shared" si="8"/>
        <v>9691992</v>
      </c>
      <c r="I48" s="214">
        <f t="shared" si="8"/>
        <v>91419</v>
      </c>
      <c r="J48" s="214">
        <f t="shared" si="8"/>
        <v>31260323</v>
      </c>
      <c r="K48" s="214">
        <f t="shared" si="8"/>
        <v>31275794</v>
      </c>
      <c r="L48" s="214">
        <f t="shared" si="8"/>
        <v>17881125</v>
      </c>
      <c r="M48" s="214">
        <f t="shared" si="8"/>
        <v>1450939</v>
      </c>
      <c r="N48" s="214">
        <f t="shared" si="8"/>
        <v>3268926</v>
      </c>
      <c r="O48" s="214">
        <f t="shared" si="8"/>
        <v>453764</v>
      </c>
      <c r="P48" s="214">
        <f t="shared" si="8"/>
        <v>50200</v>
      </c>
      <c r="Q48" s="214">
        <f t="shared" si="8"/>
        <v>988195</v>
      </c>
      <c r="R48" s="214">
        <f t="shared" si="8"/>
        <v>2669184</v>
      </c>
      <c r="S48" s="214">
        <f t="shared" si="8"/>
        <v>4513461</v>
      </c>
      <c r="T48" s="214"/>
      <c r="U48" s="214">
        <f>SUM(U45:U47)</f>
        <v>31260323</v>
      </c>
      <c r="V48" s="4"/>
    </row>
    <row r="50" ht="11.25">
      <c r="G50" s="167"/>
    </row>
  </sheetData>
  <printOptions/>
  <pageMargins left="0.51" right="0.17" top="0.81" bottom="0.27" header="0.25" footer="0.1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6" sqref="F5:F6"/>
    </sheetView>
  </sheetViews>
  <sheetFormatPr defaultColWidth="9.00390625" defaultRowHeight="12.75"/>
  <cols>
    <col min="1" max="1" width="14.25390625" style="106" customWidth="1"/>
    <col min="2" max="2" width="6.25390625" style="150" customWidth="1"/>
    <col min="3" max="3" width="5.875" style="100" customWidth="1"/>
    <col min="4" max="4" width="8.625" style="98" customWidth="1"/>
    <col min="5" max="5" width="5.625" style="100" customWidth="1"/>
    <col min="6" max="6" width="8.625" style="100" customWidth="1"/>
    <col min="7" max="7" width="11.625" style="100" hidden="1" customWidth="1"/>
    <col min="8" max="8" width="7.875" style="100" customWidth="1"/>
    <col min="9" max="9" width="7.75390625" style="100" customWidth="1"/>
    <col min="10" max="10" width="6.75390625" style="100" customWidth="1"/>
    <col min="11" max="11" width="6.00390625" style="100" customWidth="1"/>
    <col min="12" max="12" width="4.75390625" style="100" customWidth="1"/>
    <col min="13" max="13" width="6.375" style="100" customWidth="1"/>
    <col min="14" max="14" width="4.75390625" style="100" customWidth="1"/>
    <col min="15" max="15" width="6.00390625" style="100" customWidth="1"/>
    <col min="16" max="16" width="5.125" style="100" customWidth="1"/>
    <col min="17" max="17" width="7.75390625" style="100" customWidth="1"/>
    <col min="18" max="18" width="6.00390625" style="100" customWidth="1"/>
    <col min="19" max="19" width="6.125" style="100" customWidth="1"/>
    <col min="20" max="20" width="4.75390625" style="100" customWidth="1"/>
    <col min="21" max="21" width="5.00390625" style="100" customWidth="1"/>
    <col min="22" max="23" width="5.125" style="100" customWidth="1"/>
    <col min="24" max="24" width="5.00390625" style="100" customWidth="1"/>
    <col min="25" max="25" width="4.375" style="100" customWidth="1"/>
    <col min="26" max="26" width="7.625" style="100" customWidth="1"/>
    <col min="27" max="27" width="5.00390625" style="100" customWidth="1"/>
    <col min="28" max="28" width="5.25390625" style="100" customWidth="1"/>
    <col min="29" max="29" width="4.125" style="100" customWidth="1"/>
    <col min="30" max="30" width="8.75390625" style="100" hidden="1" customWidth="1"/>
    <col min="31" max="31" width="10.375" style="100" customWidth="1"/>
    <col min="32" max="16384" width="9.125" style="100" customWidth="1"/>
  </cols>
  <sheetData>
    <row r="1" ht="12.75">
      <c r="AC1" s="162" t="s">
        <v>138</v>
      </c>
    </row>
    <row r="2" ht="21" customHeight="1"/>
    <row r="3" spans="1:30" ht="25.5" customHeight="1">
      <c r="A3" s="100"/>
      <c r="B3" s="95" t="s">
        <v>115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30" ht="17.25" customHeight="1">
      <c r="A4" s="95"/>
      <c r="B4" s="96"/>
      <c r="C4" s="97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31" s="106" customFormat="1" ht="35.25" customHeight="1">
      <c r="A5" s="60" t="s">
        <v>113</v>
      </c>
      <c r="B5" s="101" t="s">
        <v>24</v>
      </c>
      <c r="C5" s="102" t="s">
        <v>70</v>
      </c>
      <c r="D5" s="103" t="s">
        <v>29</v>
      </c>
      <c r="E5" s="104" t="s">
        <v>6</v>
      </c>
      <c r="F5" s="104" t="s">
        <v>2</v>
      </c>
      <c r="G5" s="104" t="s">
        <v>25</v>
      </c>
      <c r="H5" s="104" t="s">
        <v>3</v>
      </c>
      <c r="I5" s="104" t="s">
        <v>4</v>
      </c>
      <c r="J5" s="104" t="s">
        <v>5</v>
      </c>
      <c r="K5" s="104" t="s">
        <v>26</v>
      </c>
      <c r="L5" s="104" t="s">
        <v>57</v>
      </c>
      <c r="M5" s="104" t="s">
        <v>8</v>
      </c>
      <c r="N5" s="104" t="s">
        <v>129</v>
      </c>
      <c r="O5" s="104" t="s">
        <v>19</v>
      </c>
      <c r="P5" s="104" t="s">
        <v>12</v>
      </c>
      <c r="Q5" s="104" t="s">
        <v>9</v>
      </c>
      <c r="R5" s="104" t="s">
        <v>10</v>
      </c>
      <c r="S5" s="104" t="s">
        <v>11</v>
      </c>
      <c r="T5" s="104" t="s">
        <v>130</v>
      </c>
      <c r="U5" s="104" t="s">
        <v>58</v>
      </c>
      <c r="V5" s="104" t="s">
        <v>123</v>
      </c>
      <c r="W5" s="104" t="s">
        <v>124</v>
      </c>
      <c r="X5" s="104" t="s">
        <v>20</v>
      </c>
      <c r="Y5" s="104" t="s">
        <v>27</v>
      </c>
      <c r="Z5" s="104" t="s">
        <v>7</v>
      </c>
      <c r="AA5" s="104" t="s">
        <v>125</v>
      </c>
      <c r="AB5" s="104" t="s">
        <v>127</v>
      </c>
      <c r="AC5" s="104" t="s">
        <v>75</v>
      </c>
      <c r="AD5" s="102" t="s">
        <v>69</v>
      </c>
      <c r="AE5" s="105"/>
    </row>
    <row r="6" spans="1:31" ht="12.75">
      <c r="A6" s="107" t="s">
        <v>30</v>
      </c>
      <c r="B6" s="108">
        <v>659</v>
      </c>
      <c r="C6" s="109">
        <f aca="true" t="shared" si="0" ref="C6:C29">D6/12/B6</f>
        <v>365</v>
      </c>
      <c r="D6" s="110">
        <f aca="true" t="shared" si="1" ref="D6:D28">AD6+Z6+F6+J6+Q6+H6+I6+AC6</f>
        <v>2885343</v>
      </c>
      <c r="E6" s="111">
        <v>2100</v>
      </c>
      <c r="F6" s="111">
        <v>1920465</v>
      </c>
      <c r="G6" s="111"/>
      <c r="H6" s="111">
        <v>160000</v>
      </c>
      <c r="I6" s="111">
        <v>368501</v>
      </c>
      <c r="J6" s="111">
        <v>51152</v>
      </c>
      <c r="K6" s="111"/>
      <c r="L6" s="111"/>
      <c r="M6" s="111">
        <f>15971+6000</f>
        <v>21971</v>
      </c>
      <c r="N6" s="111">
        <v>3960</v>
      </c>
      <c r="O6" s="111">
        <v>5000</v>
      </c>
      <c r="P6" s="111"/>
      <c r="Q6" s="111">
        <v>163000</v>
      </c>
      <c r="R6" s="111">
        <f>5000+40000</f>
        <v>45000</v>
      </c>
      <c r="S6" s="111">
        <v>16000</v>
      </c>
      <c r="T6" s="111">
        <v>403</v>
      </c>
      <c r="U6" s="111">
        <v>6369</v>
      </c>
      <c r="V6" s="111"/>
      <c r="W6" s="111"/>
      <c r="X6" s="111"/>
      <c r="Y6" s="111"/>
      <c r="Z6" s="111">
        <v>121422</v>
      </c>
      <c r="AA6" s="111"/>
      <c r="AB6" s="111"/>
      <c r="AC6" s="111"/>
      <c r="AD6" s="110">
        <f aca="true" t="shared" si="2" ref="AD6:AD28">E6+L6+M6+P6+R6+S6+U6+X6+Y6+K6+O6+W6+V6+AB6+AA6+N6+T6</f>
        <v>100803</v>
      </c>
      <c r="AE6" s="112"/>
    </row>
    <row r="7" spans="1:31" ht="12.75">
      <c r="A7" s="107" t="s">
        <v>31</v>
      </c>
      <c r="B7" s="108">
        <v>322</v>
      </c>
      <c r="C7" s="109">
        <f t="shared" si="0"/>
        <v>417</v>
      </c>
      <c r="D7" s="110">
        <f t="shared" si="1"/>
        <v>1612425</v>
      </c>
      <c r="E7" s="111">
        <v>1500</v>
      </c>
      <c r="F7" s="111">
        <v>1029144</v>
      </c>
      <c r="G7" s="111"/>
      <c r="H7" s="111">
        <v>75694</v>
      </c>
      <c r="I7" s="111">
        <v>197225</v>
      </c>
      <c r="J7" s="111">
        <v>27377</v>
      </c>
      <c r="K7" s="111"/>
      <c r="L7" s="111"/>
      <c r="M7" s="111">
        <v>169800</v>
      </c>
      <c r="N7" s="111"/>
      <c r="O7" s="111">
        <f>2200+4000</f>
        <v>6200</v>
      </c>
      <c r="P7" s="111">
        <v>2000</v>
      </c>
      <c r="Q7" s="111">
        <v>20700</v>
      </c>
      <c r="R7" s="111"/>
      <c r="S7" s="111">
        <f>8500+2000</f>
        <v>10500</v>
      </c>
      <c r="T7" s="111"/>
      <c r="U7" s="111">
        <v>2920</v>
      </c>
      <c r="V7" s="111"/>
      <c r="W7" s="111">
        <v>3800</v>
      </c>
      <c r="X7" s="111"/>
      <c r="Y7" s="111"/>
      <c r="Z7" s="111">
        <v>65565</v>
      </c>
      <c r="AA7" s="111"/>
      <c r="AB7" s="111"/>
      <c r="AC7" s="111"/>
      <c r="AD7" s="110">
        <f t="shared" si="2"/>
        <v>196720</v>
      </c>
      <c r="AE7" s="112"/>
    </row>
    <row r="8" spans="1:31" ht="12.75">
      <c r="A8" s="107" t="s">
        <v>32</v>
      </c>
      <c r="B8" s="108">
        <v>311</v>
      </c>
      <c r="C8" s="109">
        <f t="shared" si="0"/>
        <v>585</v>
      </c>
      <c r="D8" s="110">
        <f t="shared" si="1"/>
        <v>2181623</v>
      </c>
      <c r="E8" s="111">
        <v>1200</v>
      </c>
      <c r="F8" s="111">
        <v>1388157</v>
      </c>
      <c r="G8" s="111"/>
      <c r="H8" s="111">
        <v>118505</v>
      </c>
      <c r="I8" s="111">
        <v>269514</v>
      </c>
      <c r="J8" s="111">
        <v>37411</v>
      </c>
      <c r="K8" s="111"/>
      <c r="L8" s="111"/>
      <c r="M8" s="111">
        <f>9300+4000</f>
        <v>13300</v>
      </c>
      <c r="N8" s="111"/>
      <c r="O8" s="111">
        <f>3000+4250</f>
        <v>7250</v>
      </c>
      <c r="P8" s="111"/>
      <c r="Q8" s="111">
        <v>177930</v>
      </c>
      <c r="R8" s="111">
        <v>60000</v>
      </c>
      <c r="S8" s="111">
        <v>12556</v>
      </c>
      <c r="T8" s="111"/>
      <c r="U8" s="111">
        <v>2400</v>
      </c>
      <c r="V8" s="111"/>
      <c r="W8" s="111"/>
      <c r="X8" s="111">
        <v>400</v>
      </c>
      <c r="Y8" s="111"/>
      <c r="Z8" s="111">
        <v>93000</v>
      </c>
      <c r="AA8" s="111"/>
      <c r="AB8" s="111"/>
      <c r="AC8" s="111"/>
      <c r="AD8" s="110">
        <f t="shared" si="2"/>
        <v>97106</v>
      </c>
      <c r="AE8" s="112"/>
    </row>
    <row r="9" spans="1:31" ht="12.75">
      <c r="A9" s="107" t="s">
        <v>33</v>
      </c>
      <c r="B9" s="108">
        <v>536</v>
      </c>
      <c r="C9" s="109">
        <f t="shared" si="0"/>
        <v>415</v>
      </c>
      <c r="D9" s="110">
        <f t="shared" si="1"/>
        <v>2672476</v>
      </c>
      <c r="E9" s="111">
        <v>1300</v>
      </c>
      <c r="F9" s="111">
        <v>1765949</v>
      </c>
      <c r="G9" s="111"/>
      <c r="H9" s="111">
        <v>145982</v>
      </c>
      <c r="I9" s="111">
        <v>340029</v>
      </c>
      <c r="J9" s="111">
        <v>47200</v>
      </c>
      <c r="K9" s="111">
        <v>10804</v>
      </c>
      <c r="L9" s="111"/>
      <c r="M9" s="111">
        <v>17724</v>
      </c>
      <c r="N9" s="111"/>
      <c r="O9" s="111">
        <f>2500+2000</f>
        <v>4500</v>
      </c>
      <c r="P9" s="111">
        <v>3500</v>
      </c>
      <c r="Q9" s="111">
        <v>200748</v>
      </c>
      <c r="R9" s="111">
        <f>3500+2000</f>
        <v>5500</v>
      </c>
      <c r="S9" s="111">
        <f>9000+5000</f>
        <v>14000</v>
      </c>
      <c r="T9" s="111"/>
      <c r="U9" s="111">
        <v>800</v>
      </c>
      <c r="V9" s="111">
        <v>1100</v>
      </c>
      <c r="W9" s="111">
        <v>3100</v>
      </c>
      <c r="X9" s="111"/>
      <c r="Y9" s="111"/>
      <c r="Z9" s="111">
        <v>108240</v>
      </c>
      <c r="AA9" s="111"/>
      <c r="AB9" s="111">
        <v>2000</v>
      </c>
      <c r="AC9" s="111"/>
      <c r="AD9" s="110">
        <f t="shared" si="2"/>
        <v>64328</v>
      </c>
      <c r="AE9" s="112"/>
    </row>
    <row r="10" spans="1:31" ht="12.75">
      <c r="A10" s="107" t="s">
        <v>34</v>
      </c>
      <c r="B10" s="108">
        <v>186</v>
      </c>
      <c r="C10" s="109">
        <f t="shared" si="0"/>
        <v>538</v>
      </c>
      <c r="D10" s="110">
        <f t="shared" si="1"/>
        <v>1201091</v>
      </c>
      <c r="E10" s="111">
        <v>0</v>
      </c>
      <c r="F10" s="111">
        <v>838668</v>
      </c>
      <c r="G10" s="111"/>
      <c r="H10" s="111">
        <v>71700</v>
      </c>
      <c r="I10" s="111">
        <v>161586</v>
      </c>
      <c r="J10" s="111">
        <v>22430</v>
      </c>
      <c r="K10" s="111"/>
      <c r="L10" s="111"/>
      <c r="M10" s="111">
        <v>4056</v>
      </c>
      <c r="N10" s="111"/>
      <c r="O10" s="111">
        <v>1500</v>
      </c>
      <c r="P10" s="111">
        <v>1500</v>
      </c>
      <c r="Q10" s="111">
        <v>33880</v>
      </c>
      <c r="R10" s="111"/>
      <c r="S10" s="111">
        <v>4500</v>
      </c>
      <c r="T10" s="111"/>
      <c r="U10" s="111">
        <v>800</v>
      </c>
      <c r="V10" s="111"/>
      <c r="W10" s="111">
        <v>2000</v>
      </c>
      <c r="X10" s="111"/>
      <c r="Y10" s="111"/>
      <c r="Z10" s="111">
        <v>54971</v>
      </c>
      <c r="AA10" s="111">
        <v>3500</v>
      </c>
      <c r="AB10" s="111"/>
      <c r="AC10" s="111"/>
      <c r="AD10" s="110">
        <f t="shared" si="2"/>
        <v>17856</v>
      </c>
      <c r="AE10" s="112"/>
    </row>
    <row r="11" spans="1:31" ht="12.75">
      <c r="A11" s="107" t="s">
        <v>35</v>
      </c>
      <c r="B11" s="108">
        <v>88</v>
      </c>
      <c r="C11" s="109">
        <f t="shared" si="0"/>
        <v>586</v>
      </c>
      <c r="D11" s="110">
        <f t="shared" si="1"/>
        <v>618375</v>
      </c>
      <c r="E11" s="111">
        <v>400</v>
      </c>
      <c r="F11" s="111">
        <v>405138</v>
      </c>
      <c r="G11" s="111"/>
      <c r="H11" s="111">
        <v>43159</v>
      </c>
      <c r="I11" s="111">
        <v>79768</v>
      </c>
      <c r="J11" s="111">
        <v>11073</v>
      </c>
      <c r="K11" s="111"/>
      <c r="L11" s="111"/>
      <c r="M11" s="111">
        <v>2600</v>
      </c>
      <c r="N11" s="111"/>
      <c r="O11" s="111">
        <v>500</v>
      </c>
      <c r="P11" s="111"/>
      <c r="Q11" s="111">
        <v>49436</v>
      </c>
      <c r="R11" s="111">
        <v>1000</v>
      </c>
      <c r="S11" s="111">
        <v>1800</v>
      </c>
      <c r="T11" s="111"/>
      <c r="U11" s="111">
        <v>600</v>
      </c>
      <c r="V11" s="111"/>
      <c r="W11" s="111">
        <v>948</v>
      </c>
      <c r="X11" s="111"/>
      <c r="Y11" s="111"/>
      <c r="Z11" s="111">
        <v>21953</v>
      </c>
      <c r="AA11" s="111"/>
      <c r="AB11" s="111"/>
      <c r="AC11" s="111"/>
      <c r="AD11" s="110">
        <f t="shared" si="2"/>
        <v>7848</v>
      </c>
      <c r="AE11" s="112"/>
    </row>
    <row r="12" spans="1:31" ht="12.75">
      <c r="A12" s="107" t="s">
        <v>36</v>
      </c>
      <c r="B12" s="108">
        <v>195</v>
      </c>
      <c r="C12" s="109">
        <f t="shared" si="0"/>
        <v>463</v>
      </c>
      <c r="D12" s="110">
        <f t="shared" si="1"/>
        <v>1083557</v>
      </c>
      <c r="E12" s="111">
        <v>2000</v>
      </c>
      <c r="F12" s="111">
        <v>760570</v>
      </c>
      <c r="G12" s="111"/>
      <c r="H12" s="111">
        <v>61070</v>
      </c>
      <c r="I12" s="111">
        <v>146499</v>
      </c>
      <c r="J12" s="111">
        <v>20336</v>
      </c>
      <c r="K12" s="111"/>
      <c r="L12" s="111"/>
      <c r="M12" s="111">
        <v>4000</v>
      </c>
      <c r="N12" s="111"/>
      <c r="O12" s="111">
        <v>1000</v>
      </c>
      <c r="P12" s="111">
        <v>600</v>
      </c>
      <c r="Q12" s="111">
        <v>30200</v>
      </c>
      <c r="R12" s="111">
        <v>1000</v>
      </c>
      <c r="S12" s="111">
        <v>6470</v>
      </c>
      <c r="T12" s="111"/>
      <c r="U12" s="111"/>
      <c r="V12" s="111"/>
      <c r="W12" s="111">
        <v>2250</v>
      </c>
      <c r="X12" s="111"/>
      <c r="Y12" s="111">
        <v>1000</v>
      </c>
      <c r="Z12" s="111">
        <v>46162</v>
      </c>
      <c r="AA12" s="111">
        <v>400</v>
      </c>
      <c r="AB12" s="111"/>
      <c r="AC12" s="111"/>
      <c r="AD12" s="110">
        <f t="shared" si="2"/>
        <v>18720</v>
      </c>
      <c r="AE12" s="112"/>
    </row>
    <row r="13" spans="1:31" ht="12.75">
      <c r="A13" s="107" t="s">
        <v>37</v>
      </c>
      <c r="B13" s="108">
        <v>295</v>
      </c>
      <c r="C13" s="109">
        <f t="shared" si="0"/>
        <v>426</v>
      </c>
      <c r="D13" s="110">
        <f t="shared" si="1"/>
        <v>1509244</v>
      </c>
      <c r="E13" s="111">
        <v>1000</v>
      </c>
      <c r="F13" s="111">
        <v>1021154</v>
      </c>
      <c r="G13" s="111"/>
      <c r="H13" s="111">
        <v>83329</v>
      </c>
      <c r="I13" s="111">
        <v>194893</v>
      </c>
      <c r="J13" s="111">
        <v>27053</v>
      </c>
      <c r="K13" s="111"/>
      <c r="L13" s="111"/>
      <c r="M13" s="111">
        <v>6582</v>
      </c>
      <c r="N13" s="111"/>
      <c r="O13" s="111">
        <f>1500+2000</f>
        <v>3500</v>
      </c>
      <c r="P13" s="111">
        <v>1400</v>
      </c>
      <c r="Q13" s="111">
        <v>99096</v>
      </c>
      <c r="R13" s="111">
        <v>3000</v>
      </c>
      <c r="S13" s="111">
        <v>7000</v>
      </c>
      <c r="T13" s="111"/>
      <c r="U13" s="111">
        <v>708</v>
      </c>
      <c r="V13" s="111"/>
      <c r="W13" s="111"/>
      <c r="X13" s="111">
        <v>50</v>
      </c>
      <c r="Y13" s="111"/>
      <c r="Z13" s="111">
        <v>60479</v>
      </c>
      <c r="AA13" s="111"/>
      <c r="AB13" s="111"/>
      <c r="AC13" s="111"/>
      <c r="AD13" s="110">
        <f t="shared" si="2"/>
        <v>23240</v>
      </c>
      <c r="AE13" s="112"/>
    </row>
    <row r="14" spans="1:31" ht="12.75">
      <c r="A14" s="107" t="s">
        <v>38</v>
      </c>
      <c r="B14" s="108">
        <v>162</v>
      </c>
      <c r="C14" s="109">
        <f t="shared" si="0"/>
        <v>473</v>
      </c>
      <c r="D14" s="110">
        <f t="shared" si="1"/>
        <v>919864</v>
      </c>
      <c r="E14" s="111">
        <v>2000</v>
      </c>
      <c r="F14" s="111">
        <v>627130</v>
      </c>
      <c r="G14" s="111"/>
      <c r="H14" s="111">
        <v>53538</v>
      </c>
      <c r="I14" s="111">
        <v>122138</v>
      </c>
      <c r="J14" s="111">
        <v>16954</v>
      </c>
      <c r="K14" s="111">
        <v>7000</v>
      </c>
      <c r="L14" s="111">
        <v>1000</v>
      </c>
      <c r="M14" s="111">
        <v>3000</v>
      </c>
      <c r="N14" s="111"/>
      <c r="O14" s="111">
        <v>1500</v>
      </c>
      <c r="P14" s="111">
        <v>1500</v>
      </c>
      <c r="Q14" s="111">
        <v>37102</v>
      </c>
      <c r="R14" s="111">
        <v>2500</v>
      </c>
      <c r="S14" s="111">
        <v>2000</v>
      </c>
      <c r="T14" s="111"/>
      <c r="U14" s="111">
        <v>500</v>
      </c>
      <c r="V14" s="111"/>
      <c r="W14" s="111"/>
      <c r="X14" s="111">
        <v>496</v>
      </c>
      <c r="Y14" s="111"/>
      <c r="Z14" s="111">
        <v>41506</v>
      </c>
      <c r="AA14" s="111"/>
      <c r="AB14" s="111"/>
      <c r="AC14" s="111"/>
      <c r="AD14" s="110">
        <f t="shared" si="2"/>
        <v>21496</v>
      </c>
      <c r="AE14" s="112"/>
    </row>
    <row r="15" spans="1:31" ht="12.75">
      <c r="A15" s="107" t="s">
        <v>39</v>
      </c>
      <c r="B15" s="108">
        <v>407</v>
      </c>
      <c r="C15" s="109">
        <f t="shared" si="0"/>
        <v>351</v>
      </c>
      <c r="D15" s="110">
        <f t="shared" si="1"/>
        <v>1713562</v>
      </c>
      <c r="E15" s="111">
        <v>1800</v>
      </c>
      <c r="F15" s="111">
        <v>1157246</v>
      </c>
      <c r="G15" s="111"/>
      <c r="H15" s="111">
        <v>106585</v>
      </c>
      <c r="I15" s="111">
        <v>225385</v>
      </c>
      <c r="J15" s="111">
        <v>31286</v>
      </c>
      <c r="K15" s="111"/>
      <c r="L15" s="111"/>
      <c r="M15" s="111">
        <v>60863</v>
      </c>
      <c r="N15" s="111"/>
      <c r="O15" s="111">
        <v>1800</v>
      </c>
      <c r="P15" s="111">
        <v>3500</v>
      </c>
      <c r="Q15" s="111">
        <v>17002</v>
      </c>
      <c r="R15" s="111">
        <v>2000</v>
      </c>
      <c r="S15" s="111">
        <f>13920-2600+5000</f>
        <v>16320</v>
      </c>
      <c r="T15" s="111"/>
      <c r="U15" s="111">
        <v>708</v>
      </c>
      <c r="V15" s="111"/>
      <c r="W15" s="111">
        <v>8000</v>
      </c>
      <c r="X15" s="111"/>
      <c r="Y15" s="111"/>
      <c r="Z15" s="111">
        <v>73723</v>
      </c>
      <c r="AA15" s="111">
        <v>2344</v>
      </c>
      <c r="AB15" s="111">
        <v>5000</v>
      </c>
      <c r="AC15" s="111"/>
      <c r="AD15" s="110">
        <f t="shared" si="2"/>
        <v>102335</v>
      </c>
      <c r="AE15" s="112"/>
    </row>
    <row r="16" spans="1:31" ht="12.75">
      <c r="A16" s="107" t="s">
        <v>40</v>
      </c>
      <c r="B16" s="108">
        <v>422</v>
      </c>
      <c r="C16" s="109">
        <f t="shared" si="0"/>
        <v>419</v>
      </c>
      <c r="D16" s="110">
        <f t="shared" si="1"/>
        <v>2120049</v>
      </c>
      <c r="E16" s="111">
        <v>2800</v>
      </c>
      <c r="F16" s="113">
        <v>1327646</v>
      </c>
      <c r="G16" s="113"/>
      <c r="H16" s="113">
        <v>108000</v>
      </c>
      <c r="I16" s="113">
        <v>254285</v>
      </c>
      <c r="J16" s="111">
        <v>35297</v>
      </c>
      <c r="K16" s="111">
        <v>14000</v>
      </c>
      <c r="L16" s="111"/>
      <c r="M16" s="111">
        <v>11000</v>
      </c>
      <c r="N16" s="111"/>
      <c r="O16" s="111">
        <v>2000</v>
      </c>
      <c r="P16" s="111">
        <v>2000</v>
      </c>
      <c r="Q16" s="111">
        <v>188500</v>
      </c>
      <c r="R16" s="111">
        <f>2000+70000</f>
        <v>72000</v>
      </c>
      <c r="S16" s="111">
        <v>10000</v>
      </c>
      <c r="T16" s="111"/>
      <c r="U16" s="111">
        <v>2000</v>
      </c>
      <c r="V16" s="111"/>
      <c r="W16" s="111">
        <v>2612</v>
      </c>
      <c r="X16" s="111">
        <v>1000</v>
      </c>
      <c r="Y16" s="111">
        <v>1000</v>
      </c>
      <c r="Z16" s="111">
        <v>83409</v>
      </c>
      <c r="AA16" s="111">
        <v>500</v>
      </c>
      <c r="AB16" s="111">
        <v>2000</v>
      </c>
      <c r="AC16" s="111"/>
      <c r="AD16" s="110">
        <f t="shared" si="2"/>
        <v>122912</v>
      </c>
      <c r="AE16" s="112"/>
    </row>
    <row r="17" spans="1:31" ht="12.75">
      <c r="A17" s="107" t="s">
        <v>41</v>
      </c>
      <c r="B17" s="108">
        <v>428</v>
      </c>
      <c r="C17" s="109">
        <f t="shared" si="0"/>
        <v>392</v>
      </c>
      <c r="D17" s="110">
        <f t="shared" si="1"/>
        <v>2010895</v>
      </c>
      <c r="E17" s="114">
        <v>2450</v>
      </c>
      <c r="F17" s="111">
        <v>1325849</v>
      </c>
      <c r="G17" s="111"/>
      <c r="H17" s="111">
        <v>115439</v>
      </c>
      <c r="I17" s="111">
        <v>255962</v>
      </c>
      <c r="J17" s="115">
        <v>35530</v>
      </c>
      <c r="K17" s="111"/>
      <c r="L17" s="111"/>
      <c r="M17" s="111">
        <v>7500</v>
      </c>
      <c r="N17" s="111"/>
      <c r="O17" s="111">
        <v>2700</v>
      </c>
      <c r="P17" s="111">
        <v>2100</v>
      </c>
      <c r="Q17" s="111">
        <v>162192</v>
      </c>
      <c r="R17" s="111">
        <v>5000</v>
      </c>
      <c r="S17" s="111">
        <f>10212-248</f>
        <v>9964</v>
      </c>
      <c r="T17" s="111"/>
      <c r="U17" s="111">
        <v>1080</v>
      </c>
      <c r="V17" s="111">
        <v>2050</v>
      </c>
      <c r="W17" s="111"/>
      <c r="X17" s="111">
        <v>600</v>
      </c>
      <c r="Y17" s="111"/>
      <c r="Z17" s="111">
        <v>82479</v>
      </c>
      <c r="AA17" s="111"/>
      <c r="AB17" s="111"/>
      <c r="AC17" s="111"/>
      <c r="AD17" s="110">
        <f t="shared" si="2"/>
        <v>33444</v>
      </c>
      <c r="AE17" s="112"/>
    </row>
    <row r="18" spans="1:31" ht="12.75">
      <c r="A18" s="107" t="s">
        <v>42</v>
      </c>
      <c r="B18" s="108">
        <v>495</v>
      </c>
      <c r="C18" s="109">
        <f t="shared" si="0"/>
        <v>297</v>
      </c>
      <c r="D18" s="110">
        <f t="shared" si="1"/>
        <v>1762568</v>
      </c>
      <c r="E18" s="114">
        <v>1500</v>
      </c>
      <c r="F18" s="111">
        <v>1177381</v>
      </c>
      <c r="G18" s="111"/>
      <c r="H18" s="111">
        <v>97986</v>
      </c>
      <c r="I18" s="111">
        <v>228525</v>
      </c>
      <c r="J18" s="115">
        <v>31722</v>
      </c>
      <c r="K18" s="111"/>
      <c r="L18" s="111"/>
      <c r="M18" s="111">
        <f>13126-1610+500</f>
        <v>12016</v>
      </c>
      <c r="N18" s="111"/>
      <c r="O18" s="111">
        <v>3500</v>
      </c>
      <c r="P18" s="111"/>
      <c r="Q18" s="111">
        <v>101164</v>
      </c>
      <c r="R18" s="111">
        <v>6400</v>
      </c>
      <c r="S18" s="111">
        <v>8924</v>
      </c>
      <c r="T18" s="111"/>
      <c r="U18" s="111">
        <v>1800</v>
      </c>
      <c r="V18" s="111"/>
      <c r="W18" s="111"/>
      <c r="X18" s="111">
        <v>2000</v>
      </c>
      <c r="Y18" s="111"/>
      <c r="Z18" s="111">
        <v>89650</v>
      </c>
      <c r="AA18" s="111"/>
      <c r="AB18" s="111"/>
      <c r="AC18" s="111"/>
      <c r="AD18" s="110">
        <f t="shared" si="2"/>
        <v>36140</v>
      </c>
      <c r="AE18" s="112"/>
    </row>
    <row r="19" spans="1:31" ht="12.75">
      <c r="A19" s="107" t="s">
        <v>43</v>
      </c>
      <c r="B19" s="108">
        <v>419</v>
      </c>
      <c r="C19" s="109">
        <f t="shared" si="0"/>
        <v>393</v>
      </c>
      <c r="D19" s="110">
        <f t="shared" si="1"/>
        <v>1973899</v>
      </c>
      <c r="E19" s="114">
        <v>1500</v>
      </c>
      <c r="F19" s="111">
        <v>1197204</v>
      </c>
      <c r="G19" s="111"/>
      <c r="H19" s="111">
        <v>108313</v>
      </c>
      <c r="I19" s="111">
        <v>230989</v>
      </c>
      <c r="J19" s="115">
        <v>32064</v>
      </c>
      <c r="K19" s="111"/>
      <c r="L19" s="111"/>
      <c r="M19" s="111">
        <f>11000+7000</f>
        <v>18000</v>
      </c>
      <c r="N19" s="111"/>
      <c r="O19" s="111">
        <f>3000+3000</f>
        <v>6000</v>
      </c>
      <c r="P19" s="111">
        <v>2500</v>
      </c>
      <c r="Q19" s="111">
        <v>281297</v>
      </c>
      <c r="R19" s="111">
        <v>2000</v>
      </c>
      <c r="S19" s="111">
        <f>4118+5000</f>
        <v>9118</v>
      </c>
      <c r="T19" s="111"/>
      <c r="U19" s="111">
        <v>450</v>
      </c>
      <c r="V19" s="111"/>
      <c r="W19" s="111">
        <v>4800</v>
      </c>
      <c r="X19" s="111">
        <v>800</v>
      </c>
      <c r="Y19" s="111"/>
      <c r="Z19" s="111">
        <v>78864</v>
      </c>
      <c r="AA19" s="111"/>
      <c r="AB19" s="111"/>
      <c r="AC19" s="111"/>
      <c r="AD19" s="110">
        <f t="shared" si="2"/>
        <v>45168</v>
      </c>
      <c r="AE19" s="112"/>
    </row>
    <row r="20" spans="1:31" ht="12.75">
      <c r="A20" s="107" t="s">
        <v>44</v>
      </c>
      <c r="B20" s="108">
        <v>376</v>
      </c>
      <c r="C20" s="109">
        <f t="shared" si="0"/>
        <v>416</v>
      </c>
      <c r="D20" s="110">
        <f t="shared" si="1"/>
        <v>1876990</v>
      </c>
      <c r="E20" s="114">
        <v>1500</v>
      </c>
      <c r="F20" s="111">
        <v>1318757</v>
      </c>
      <c r="G20" s="111"/>
      <c r="H20" s="111">
        <v>117424</v>
      </c>
      <c r="I20" s="111">
        <v>254420</v>
      </c>
      <c r="J20" s="115">
        <v>35316</v>
      </c>
      <c r="K20" s="111"/>
      <c r="L20" s="111"/>
      <c r="M20" s="111">
        <v>8000</v>
      </c>
      <c r="N20" s="111"/>
      <c r="O20" s="111">
        <v>400</v>
      </c>
      <c r="P20" s="111">
        <v>1000</v>
      </c>
      <c r="Q20" s="111">
        <v>39194</v>
      </c>
      <c r="R20" s="111">
        <v>500</v>
      </c>
      <c r="S20" s="111">
        <v>5972</v>
      </c>
      <c r="T20" s="111"/>
      <c r="U20" s="111">
        <v>2100</v>
      </c>
      <c r="V20" s="111"/>
      <c r="W20" s="111">
        <v>2000</v>
      </c>
      <c r="X20" s="111">
        <v>100</v>
      </c>
      <c r="Y20" s="111">
        <v>100</v>
      </c>
      <c r="Z20" s="111">
        <v>84807</v>
      </c>
      <c r="AA20" s="111">
        <v>2400</v>
      </c>
      <c r="AB20" s="111">
        <v>3000</v>
      </c>
      <c r="AC20" s="111"/>
      <c r="AD20" s="110">
        <f t="shared" si="2"/>
        <v>27072</v>
      </c>
      <c r="AE20" s="112"/>
    </row>
    <row r="21" spans="1:31" ht="12.75">
      <c r="A21" s="107" t="s">
        <v>45</v>
      </c>
      <c r="B21" s="108">
        <v>399</v>
      </c>
      <c r="C21" s="109">
        <f t="shared" si="0"/>
        <v>456</v>
      </c>
      <c r="D21" s="110">
        <f t="shared" si="1"/>
        <v>2184412</v>
      </c>
      <c r="E21" s="114">
        <v>3000</v>
      </c>
      <c r="F21" s="111">
        <v>1438988</v>
      </c>
      <c r="G21" s="111"/>
      <c r="H21" s="111">
        <v>123883</v>
      </c>
      <c r="I21" s="111">
        <v>277836</v>
      </c>
      <c r="J21" s="115">
        <v>38566</v>
      </c>
      <c r="K21" s="111"/>
      <c r="L21" s="111"/>
      <c r="M21" s="111">
        <f>12000-4000</f>
        <v>8000</v>
      </c>
      <c r="N21" s="111"/>
      <c r="O21" s="111">
        <f>4000-576</f>
        <v>3424</v>
      </c>
      <c r="P21" s="111">
        <v>1500</v>
      </c>
      <c r="Q21" s="111">
        <v>191288</v>
      </c>
      <c r="R21" s="111">
        <v>2000</v>
      </c>
      <c r="S21" s="111">
        <v>5000</v>
      </c>
      <c r="T21" s="111"/>
      <c r="U21" s="111">
        <v>2500</v>
      </c>
      <c r="V21" s="111"/>
      <c r="W21" s="111">
        <v>2500</v>
      </c>
      <c r="X21" s="111">
        <v>804</v>
      </c>
      <c r="Y21" s="111"/>
      <c r="Z21" s="111">
        <v>85123</v>
      </c>
      <c r="AA21" s="111"/>
      <c r="AB21" s="111"/>
      <c r="AC21" s="111"/>
      <c r="AD21" s="110">
        <f t="shared" si="2"/>
        <v>28728</v>
      </c>
      <c r="AE21" s="112"/>
    </row>
    <row r="22" spans="1:31" ht="12.75">
      <c r="A22" s="107" t="s">
        <v>46</v>
      </c>
      <c r="B22" s="108">
        <v>507</v>
      </c>
      <c r="C22" s="109">
        <f t="shared" si="0"/>
        <v>335</v>
      </c>
      <c r="D22" s="110">
        <f t="shared" si="1"/>
        <v>2039812</v>
      </c>
      <c r="E22" s="114">
        <v>6430</v>
      </c>
      <c r="F22" s="111">
        <v>1360009</v>
      </c>
      <c r="G22" s="111"/>
      <c r="H22" s="111">
        <v>107928</v>
      </c>
      <c r="I22" s="111">
        <v>260529</v>
      </c>
      <c r="J22" s="115">
        <v>36164</v>
      </c>
      <c r="K22" s="111">
        <v>4914</v>
      </c>
      <c r="L22" s="111"/>
      <c r="M22" s="111">
        <v>11310</v>
      </c>
      <c r="N22" s="111"/>
      <c r="O22" s="111">
        <v>1850</v>
      </c>
      <c r="P22" s="111">
        <v>4368</v>
      </c>
      <c r="Q22" s="111">
        <v>143292</v>
      </c>
      <c r="R22" s="111">
        <v>920</v>
      </c>
      <c r="S22" s="111">
        <v>8680</v>
      </c>
      <c r="T22" s="111"/>
      <c r="U22" s="111">
        <v>6400</v>
      </c>
      <c r="V22" s="111"/>
      <c r="W22" s="111"/>
      <c r="X22" s="111">
        <v>1030</v>
      </c>
      <c r="Y22" s="111"/>
      <c r="Z22" s="111">
        <v>84388</v>
      </c>
      <c r="AA22" s="111">
        <v>1100</v>
      </c>
      <c r="AB22" s="111">
        <v>500</v>
      </c>
      <c r="AC22" s="111"/>
      <c r="AD22" s="110">
        <f t="shared" si="2"/>
        <v>47502</v>
      </c>
      <c r="AE22" s="112"/>
    </row>
    <row r="23" spans="1:31" ht="12.75">
      <c r="A23" s="107" t="s">
        <v>47</v>
      </c>
      <c r="B23" s="108">
        <v>331</v>
      </c>
      <c r="C23" s="109">
        <f t="shared" si="0"/>
        <v>384</v>
      </c>
      <c r="D23" s="110">
        <f t="shared" si="1"/>
        <v>1525151</v>
      </c>
      <c r="E23" s="114">
        <v>1200</v>
      </c>
      <c r="F23" s="111">
        <v>1030151</v>
      </c>
      <c r="G23" s="111"/>
      <c r="H23" s="111">
        <v>78500</v>
      </c>
      <c r="I23" s="111">
        <v>196715</v>
      </c>
      <c r="J23" s="115">
        <v>27306</v>
      </c>
      <c r="K23" s="111"/>
      <c r="L23" s="111"/>
      <c r="M23" s="111">
        <v>6700</v>
      </c>
      <c r="N23" s="111"/>
      <c r="O23" s="111">
        <v>1039</v>
      </c>
      <c r="P23" s="111">
        <v>1720</v>
      </c>
      <c r="Q23" s="111">
        <v>106900</v>
      </c>
      <c r="R23" s="111">
        <v>3000</v>
      </c>
      <c r="S23" s="111">
        <v>9373</v>
      </c>
      <c r="T23" s="111"/>
      <c r="U23" s="111">
        <v>500</v>
      </c>
      <c r="V23" s="111"/>
      <c r="W23" s="111"/>
      <c r="X23" s="111">
        <v>300</v>
      </c>
      <c r="Y23" s="111"/>
      <c r="Z23" s="111">
        <v>61747</v>
      </c>
      <c r="AA23" s="111"/>
      <c r="AB23" s="111"/>
      <c r="AC23" s="111"/>
      <c r="AD23" s="110">
        <f t="shared" si="2"/>
        <v>23832</v>
      </c>
      <c r="AE23" s="112"/>
    </row>
    <row r="24" spans="1:31" ht="12.75">
      <c r="A24" s="107" t="s">
        <v>48</v>
      </c>
      <c r="B24" s="108">
        <v>444</v>
      </c>
      <c r="C24" s="109">
        <f t="shared" si="0"/>
        <v>421</v>
      </c>
      <c r="D24" s="110">
        <f t="shared" si="1"/>
        <v>2244453</v>
      </c>
      <c r="E24" s="111">
        <v>1576</v>
      </c>
      <c r="F24" s="116">
        <v>1531833</v>
      </c>
      <c r="G24" s="116"/>
      <c r="H24" s="116">
        <v>128012</v>
      </c>
      <c r="I24" s="116">
        <v>295411</v>
      </c>
      <c r="J24" s="111">
        <v>41006</v>
      </c>
      <c r="K24" s="111"/>
      <c r="L24" s="111"/>
      <c r="M24" s="111">
        <v>7738</v>
      </c>
      <c r="N24" s="111"/>
      <c r="O24" s="111">
        <v>3000</v>
      </c>
      <c r="P24" s="111">
        <v>1000</v>
      </c>
      <c r="Q24" s="111">
        <v>125168</v>
      </c>
      <c r="R24" s="111">
        <v>4000</v>
      </c>
      <c r="S24" s="111">
        <v>8000</v>
      </c>
      <c r="T24" s="111"/>
      <c r="U24" s="111">
        <v>290</v>
      </c>
      <c r="V24" s="111">
        <v>521</v>
      </c>
      <c r="W24" s="111">
        <v>4843</v>
      </c>
      <c r="X24" s="111">
        <v>1000</v>
      </c>
      <c r="Y24" s="111"/>
      <c r="Z24" s="111">
        <v>91055</v>
      </c>
      <c r="AA24" s="111"/>
      <c r="AB24" s="111"/>
      <c r="AC24" s="111"/>
      <c r="AD24" s="110">
        <f t="shared" si="2"/>
        <v>31968</v>
      </c>
      <c r="AE24" s="112"/>
    </row>
    <row r="25" spans="1:31" ht="12.75">
      <c r="A25" s="107" t="s">
        <v>49</v>
      </c>
      <c r="B25" s="108">
        <v>213</v>
      </c>
      <c r="C25" s="109">
        <f t="shared" si="0"/>
        <v>402</v>
      </c>
      <c r="D25" s="110">
        <f t="shared" si="1"/>
        <v>1027098</v>
      </c>
      <c r="E25" s="111"/>
      <c r="F25" s="111">
        <v>723515</v>
      </c>
      <c r="G25" s="111"/>
      <c r="H25" s="111">
        <v>60484</v>
      </c>
      <c r="I25" s="111">
        <v>139046</v>
      </c>
      <c r="J25" s="111">
        <v>19301</v>
      </c>
      <c r="K25" s="111"/>
      <c r="L25" s="111"/>
      <c r="M25" s="111">
        <v>9192</v>
      </c>
      <c r="N25" s="111"/>
      <c r="O25" s="111">
        <v>1500</v>
      </c>
      <c r="P25" s="111"/>
      <c r="Q25" s="111">
        <v>24040</v>
      </c>
      <c r="R25" s="111">
        <v>1200</v>
      </c>
      <c r="S25" s="111">
        <v>2000</v>
      </c>
      <c r="T25" s="111"/>
      <c r="U25" s="111"/>
      <c r="V25" s="111"/>
      <c r="W25" s="111">
        <v>3000</v>
      </c>
      <c r="X25" s="111"/>
      <c r="Y25" s="111"/>
      <c r="Z25" s="111">
        <v>42820</v>
      </c>
      <c r="AA25" s="111">
        <v>1000</v>
      </c>
      <c r="AB25" s="111"/>
      <c r="AC25" s="111"/>
      <c r="AD25" s="110">
        <f t="shared" si="2"/>
        <v>17892</v>
      </c>
      <c r="AE25" s="112"/>
    </row>
    <row r="26" spans="1:31" ht="12.75">
      <c r="A26" s="107" t="s">
        <v>68</v>
      </c>
      <c r="B26" s="108">
        <v>115</v>
      </c>
      <c r="C26" s="109">
        <f t="shared" si="0"/>
        <v>142</v>
      </c>
      <c r="D26" s="110">
        <f t="shared" si="1"/>
        <v>195553</v>
      </c>
      <c r="E26" s="111">
        <v>600</v>
      </c>
      <c r="F26" s="111">
        <v>133562</v>
      </c>
      <c r="G26" s="111"/>
      <c r="H26" s="111">
        <v>11558</v>
      </c>
      <c r="I26" s="111">
        <v>25896</v>
      </c>
      <c r="J26" s="111">
        <v>3595</v>
      </c>
      <c r="K26" s="111"/>
      <c r="L26" s="111"/>
      <c r="M26" s="111">
        <v>6126</v>
      </c>
      <c r="N26" s="111"/>
      <c r="O26" s="111">
        <v>500</v>
      </c>
      <c r="P26" s="111"/>
      <c r="Q26" s="111">
        <v>1267</v>
      </c>
      <c r="R26" s="111">
        <v>1500</v>
      </c>
      <c r="S26" s="111">
        <v>1000</v>
      </c>
      <c r="T26" s="111"/>
      <c r="U26" s="111"/>
      <c r="V26" s="111"/>
      <c r="W26" s="111">
        <v>1410</v>
      </c>
      <c r="X26" s="111"/>
      <c r="Y26" s="111"/>
      <c r="Z26" s="111">
        <v>8539</v>
      </c>
      <c r="AA26" s="111"/>
      <c r="AB26" s="111"/>
      <c r="AC26" s="111"/>
      <c r="AD26" s="110">
        <f t="shared" si="2"/>
        <v>11136</v>
      </c>
      <c r="AE26" s="112"/>
    </row>
    <row r="27" spans="1:31" ht="12.75">
      <c r="A27" s="107" t="s">
        <v>50</v>
      </c>
      <c r="B27" s="108">
        <v>136</v>
      </c>
      <c r="C27" s="109">
        <f t="shared" si="0"/>
        <v>349</v>
      </c>
      <c r="D27" s="110">
        <f t="shared" si="1"/>
        <v>570064</v>
      </c>
      <c r="E27" s="111"/>
      <c r="F27" s="111">
        <v>397276</v>
      </c>
      <c r="G27" s="111"/>
      <c r="H27" s="111">
        <v>31656</v>
      </c>
      <c r="I27" s="111">
        <v>76699</v>
      </c>
      <c r="J27" s="111">
        <v>10647</v>
      </c>
      <c r="K27" s="111"/>
      <c r="L27" s="111"/>
      <c r="M27" s="111">
        <f>6440-1440</f>
        <v>5000</v>
      </c>
      <c r="N27" s="111"/>
      <c r="O27" s="111"/>
      <c r="P27" s="111"/>
      <c r="Q27" s="111">
        <v>14819</v>
      </c>
      <c r="R27" s="111"/>
      <c r="S27" s="111">
        <f>10000-3492</f>
        <v>6508</v>
      </c>
      <c r="T27" s="111"/>
      <c r="U27" s="111"/>
      <c r="V27" s="111"/>
      <c r="W27" s="111"/>
      <c r="X27" s="111"/>
      <c r="Y27" s="111"/>
      <c r="Z27" s="111">
        <v>27459</v>
      </c>
      <c r="AA27" s="111"/>
      <c r="AB27" s="111"/>
      <c r="AC27" s="111"/>
      <c r="AD27" s="110">
        <f t="shared" si="2"/>
        <v>11508</v>
      </c>
      <c r="AE27" s="112"/>
    </row>
    <row r="28" spans="1:31" ht="12.75">
      <c r="A28" s="107" t="s">
        <v>51</v>
      </c>
      <c r="B28" s="108">
        <v>241</v>
      </c>
      <c r="C28" s="109">
        <f t="shared" si="0"/>
        <v>407</v>
      </c>
      <c r="D28" s="110">
        <f t="shared" si="1"/>
        <v>1176497</v>
      </c>
      <c r="E28" s="111"/>
      <c r="F28" s="111">
        <v>863902</v>
      </c>
      <c r="G28" s="111"/>
      <c r="H28" s="111">
        <v>62141</v>
      </c>
      <c r="I28" s="111">
        <v>161719</v>
      </c>
      <c r="J28" s="111">
        <v>22448</v>
      </c>
      <c r="K28" s="111"/>
      <c r="L28" s="111"/>
      <c r="M28" s="111">
        <v>10000</v>
      </c>
      <c r="N28" s="111"/>
      <c r="O28" s="111"/>
      <c r="P28" s="111"/>
      <c r="Q28" s="111"/>
      <c r="R28" s="111"/>
      <c r="S28" s="111">
        <v>6920</v>
      </c>
      <c r="T28" s="111"/>
      <c r="U28" s="111"/>
      <c r="V28" s="111"/>
      <c r="W28" s="111"/>
      <c r="X28" s="111"/>
      <c r="Y28" s="111"/>
      <c r="Z28" s="111">
        <v>49367</v>
      </c>
      <c r="AA28" s="111"/>
      <c r="AB28" s="111"/>
      <c r="AC28" s="111"/>
      <c r="AD28" s="110">
        <f t="shared" si="2"/>
        <v>16920</v>
      </c>
      <c r="AE28" s="112"/>
    </row>
    <row r="29" spans="1:31" s="106" customFormat="1" ht="16.5" customHeight="1">
      <c r="A29" s="117" t="s">
        <v>52</v>
      </c>
      <c r="B29" s="110">
        <f>SUM(B6:B28)</f>
        <v>7687</v>
      </c>
      <c r="C29" s="118">
        <f t="shared" si="0"/>
        <v>402</v>
      </c>
      <c r="D29" s="110">
        <f>SUM(D6:D28)</f>
        <v>37105001</v>
      </c>
      <c r="E29" s="110">
        <f aca="true" t="shared" si="3" ref="E29:AD29">SUM(E6:E28)</f>
        <v>35856</v>
      </c>
      <c r="F29" s="110">
        <f t="shared" si="3"/>
        <v>24739694</v>
      </c>
      <c r="G29" s="110">
        <f t="shared" si="3"/>
        <v>0</v>
      </c>
      <c r="H29" s="110">
        <f t="shared" si="3"/>
        <v>2070886</v>
      </c>
      <c r="I29" s="110">
        <f t="shared" si="3"/>
        <v>4763570</v>
      </c>
      <c r="J29" s="110">
        <f t="shared" si="3"/>
        <v>661234</v>
      </c>
      <c r="K29" s="110">
        <f t="shared" si="3"/>
        <v>36718</v>
      </c>
      <c r="L29" s="110">
        <f t="shared" si="3"/>
        <v>1000</v>
      </c>
      <c r="M29" s="110">
        <f t="shared" si="3"/>
        <v>424478</v>
      </c>
      <c r="N29" s="110">
        <f t="shared" si="3"/>
        <v>3960</v>
      </c>
      <c r="O29" s="110">
        <f t="shared" si="3"/>
        <v>58663</v>
      </c>
      <c r="P29" s="110">
        <f t="shared" si="3"/>
        <v>30188</v>
      </c>
      <c r="Q29" s="110">
        <f t="shared" si="3"/>
        <v>2208215</v>
      </c>
      <c r="R29" s="110">
        <f t="shared" si="3"/>
        <v>218520</v>
      </c>
      <c r="S29" s="110">
        <f t="shared" si="3"/>
        <v>182605</v>
      </c>
      <c r="T29" s="110">
        <f t="shared" si="3"/>
        <v>403</v>
      </c>
      <c r="U29" s="110">
        <f t="shared" si="3"/>
        <v>32925</v>
      </c>
      <c r="V29" s="110">
        <f t="shared" si="3"/>
        <v>3671</v>
      </c>
      <c r="W29" s="110">
        <f t="shared" si="3"/>
        <v>41263</v>
      </c>
      <c r="X29" s="110">
        <f t="shared" si="3"/>
        <v>8580</v>
      </c>
      <c r="Y29" s="110">
        <f t="shared" si="3"/>
        <v>2100</v>
      </c>
      <c r="Z29" s="110">
        <f t="shared" si="3"/>
        <v>1556728</v>
      </c>
      <c r="AA29" s="110">
        <f t="shared" si="3"/>
        <v>11244</v>
      </c>
      <c r="AB29" s="110">
        <f t="shared" si="3"/>
        <v>12500</v>
      </c>
      <c r="AC29" s="110">
        <f t="shared" si="3"/>
        <v>0</v>
      </c>
      <c r="AD29" s="110">
        <f t="shared" si="3"/>
        <v>1104674</v>
      </c>
      <c r="AE29" s="119"/>
    </row>
    <row r="30" spans="1:31" s="125" customFormat="1" ht="34.5">
      <c r="A30" s="120" t="s">
        <v>76</v>
      </c>
      <c r="B30" s="121"/>
      <c r="C30" s="122"/>
      <c r="D30" s="110">
        <v>2320392</v>
      </c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4"/>
      <c r="AE30" s="112"/>
    </row>
    <row r="31" spans="1:31" s="125" customFormat="1" ht="13.5">
      <c r="A31" s="126" t="s">
        <v>56</v>
      </c>
      <c r="B31" s="121"/>
      <c r="C31" s="122"/>
      <c r="D31" s="39">
        <f>SUM(D29:D30)</f>
        <v>39425393</v>
      </c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4"/>
      <c r="AE31" s="112"/>
    </row>
    <row r="32" spans="1:31" s="125" customFormat="1" ht="13.5">
      <c r="A32" s="127"/>
      <c r="B32" s="128"/>
      <c r="C32" s="129"/>
      <c r="D32" s="130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2"/>
      <c r="AE32" s="112"/>
    </row>
    <row r="33" spans="1:31" s="125" customFormat="1" ht="13.5">
      <c r="A33" s="127"/>
      <c r="B33" s="128"/>
      <c r="C33" s="129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2"/>
      <c r="AE33" s="112"/>
    </row>
    <row r="34" spans="1:31" s="125" customFormat="1" ht="13.5">
      <c r="A34" s="127"/>
      <c r="B34" s="128"/>
      <c r="C34" s="129"/>
      <c r="D34" s="130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2"/>
      <c r="AE34" s="112"/>
    </row>
    <row r="35" spans="1:31" s="125" customFormat="1" ht="13.5">
      <c r="A35" s="127"/>
      <c r="B35" s="128"/>
      <c r="C35" s="129"/>
      <c r="D35" s="130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2"/>
      <c r="AE35" s="112"/>
    </row>
    <row r="36" spans="1:31" s="125" customFormat="1" ht="13.5">
      <c r="A36" s="127"/>
      <c r="B36" s="128"/>
      <c r="C36" s="129"/>
      <c r="D36" s="130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  <c r="AE36" s="112"/>
    </row>
    <row r="37" spans="1:31" s="125" customFormat="1" ht="13.5">
      <c r="A37" s="133"/>
      <c r="B37" s="134"/>
      <c r="C37" s="135"/>
      <c r="D37" s="130"/>
      <c r="E37" s="134"/>
      <c r="F37" s="134"/>
      <c r="G37" s="134"/>
      <c r="H37" s="134"/>
      <c r="I37" s="131"/>
      <c r="J37" s="131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2"/>
      <c r="AE37" s="112"/>
    </row>
    <row r="38" spans="1:31" s="125" customFormat="1" ht="13.5">
      <c r="A38" s="127"/>
      <c r="B38" s="128"/>
      <c r="C38" s="129"/>
      <c r="D38" s="130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2"/>
      <c r="AE38" s="112"/>
    </row>
    <row r="39" spans="1:31" s="125" customFormat="1" ht="13.5">
      <c r="A39" s="127"/>
      <c r="B39" s="128"/>
      <c r="C39" s="129"/>
      <c r="D39" s="130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2"/>
      <c r="AE39" s="112"/>
    </row>
    <row r="40" spans="1:31" s="125" customFormat="1" ht="13.5">
      <c r="A40" s="127"/>
      <c r="B40" s="128"/>
      <c r="C40" s="129"/>
      <c r="D40" s="130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2"/>
      <c r="AE40" s="112"/>
    </row>
    <row r="41" spans="1:31" s="125" customFormat="1" ht="13.5">
      <c r="A41" s="127"/>
      <c r="B41" s="128"/>
      <c r="C41" s="129"/>
      <c r="D41" s="130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2"/>
      <c r="AE41" s="112"/>
    </row>
    <row r="42" spans="1:31" s="125" customFormat="1" ht="13.5">
      <c r="A42" s="127"/>
      <c r="B42" s="128"/>
      <c r="C42" s="129"/>
      <c r="D42" s="130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2"/>
      <c r="AE42" s="112"/>
    </row>
    <row r="43" spans="1:31" s="125" customFormat="1" ht="13.5">
      <c r="A43" s="127"/>
      <c r="B43" s="128"/>
      <c r="C43" s="129"/>
      <c r="D43" s="130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2"/>
      <c r="AE43" s="112"/>
    </row>
    <row r="44" spans="1:31" s="125" customFormat="1" ht="13.5">
      <c r="A44" s="127"/>
      <c r="B44" s="128"/>
      <c r="C44" s="129"/>
      <c r="D44" s="130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2"/>
      <c r="AE44" s="112"/>
    </row>
    <row r="45" spans="1:31" s="125" customFormat="1" ht="13.5">
      <c r="A45" s="127"/>
      <c r="B45" s="128"/>
      <c r="C45" s="129"/>
      <c r="D45" s="130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2"/>
      <c r="AE45" s="112"/>
    </row>
    <row r="46" spans="1:31" s="125" customFormat="1" ht="13.5">
      <c r="A46" s="127"/>
      <c r="B46" s="128"/>
      <c r="C46" s="129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2"/>
      <c r="AE46" s="112"/>
    </row>
    <row r="47" spans="1:31" s="125" customFormat="1" ht="13.5">
      <c r="A47" s="127"/>
      <c r="B47" s="128"/>
      <c r="C47" s="129"/>
      <c r="D47" s="130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2"/>
      <c r="AE47" s="112"/>
    </row>
    <row r="48" spans="1:31" s="125" customFormat="1" ht="13.5">
      <c r="A48" s="37"/>
      <c r="B48" s="10"/>
      <c r="C48" s="129"/>
      <c r="D48" s="130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2"/>
      <c r="AE48" s="112"/>
    </row>
    <row r="49" spans="1:31" s="125" customFormat="1" ht="13.5">
      <c r="A49" s="37"/>
      <c r="B49" s="10"/>
      <c r="C49" s="129"/>
      <c r="D49" s="130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2"/>
      <c r="AE49" s="112"/>
    </row>
    <row r="50" spans="1:31" s="125" customFormat="1" ht="13.5">
      <c r="A50" s="133"/>
      <c r="B50" s="134"/>
      <c r="C50" s="135"/>
      <c r="D50" s="130"/>
      <c r="E50" s="134"/>
      <c r="F50" s="134"/>
      <c r="G50" s="134"/>
      <c r="H50" s="134"/>
      <c r="I50" s="131"/>
      <c r="J50" s="131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2"/>
      <c r="AE50" s="112"/>
    </row>
    <row r="51" spans="1:31" s="125" customFormat="1" ht="13.5">
      <c r="A51" s="133"/>
      <c r="B51" s="136"/>
      <c r="C51" s="135"/>
      <c r="D51" s="137"/>
      <c r="E51" s="134"/>
      <c r="F51" s="134"/>
      <c r="G51" s="134"/>
      <c r="H51" s="134"/>
      <c r="I51" s="131"/>
      <c r="J51" s="131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2"/>
      <c r="AE51" s="112"/>
    </row>
    <row r="52" spans="1:31" s="125" customFormat="1" ht="18" customHeight="1">
      <c r="A52" s="127"/>
      <c r="B52" s="136"/>
      <c r="C52" s="135"/>
      <c r="D52" s="137"/>
      <c r="E52" s="134"/>
      <c r="F52" s="134"/>
      <c r="G52" s="134"/>
      <c r="H52" s="134"/>
      <c r="I52" s="131"/>
      <c r="J52" s="131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2"/>
      <c r="AE52" s="112"/>
    </row>
    <row r="53" spans="1:31" s="125" customFormat="1" ht="25.5" customHeight="1">
      <c r="A53" s="138"/>
      <c r="B53" s="136"/>
      <c r="C53" s="135"/>
      <c r="D53" s="137"/>
      <c r="E53" s="134"/>
      <c r="F53" s="134"/>
      <c r="G53" s="134"/>
      <c r="H53" s="134"/>
      <c r="I53" s="131"/>
      <c r="J53" s="131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2"/>
      <c r="AE53" s="112"/>
    </row>
    <row r="54" spans="1:31" s="125" customFormat="1" ht="18" customHeight="1">
      <c r="A54" s="138"/>
      <c r="B54" s="136"/>
      <c r="C54" s="135"/>
      <c r="D54" s="137"/>
      <c r="E54" s="134"/>
      <c r="F54" s="134"/>
      <c r="G54" s="134"/>
      <c r="H54" s="134"/>
      <c r="I54" s="131"/>
      <c r="J54" s="131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2"/>
      <c r="AE54" s="112"/>
    </row>
    <row r="55" spans="1:31" s="125" customFormat="1" ht="25.5" customHeight="1">
      <c r="A55" s="133"/>
      <c r="B55" s="136"/>
      <c r="C55" s="139"/>
      <c r="D55" s="139"/>
      <c r="E55" s="139"/>
      <c r="F55" s="139"/>
      <c r="G55" s="139"/>
      <c r="H55" s="139"/>
      <c r="I55" s="131"/>
      <c r="J55" s="131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</row>
    <row r="56" spans="1:31" s="125" customFormat="1" ht="13.5">
      <c r="A56" s="133"/>
      <c r="B56" s="136"/>
      <c r="C56" s="135"/>
      <c r="D56" s="137"/>
      <c r="E56" s="134"/>
      <c r="F56" s="134"/>
      <c r="G56" s="134"/>
      <c r="H56" s="134"/>
      <c r="I56" s="131"/>
      <c r="J56" s="131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2"/>
      <c r="AE56" s="112"/>
    </row>
    <row r="57" spans="1:31" s="125" customFormat="1" ht="13.5">
      <c r="A57" s="133"/>
      <c r="B57" s="136"/>
      <c r="C57" s="135"/>
      <c r="D57" s="137"/>
      <c r="E57" s="134"/>
      <c r="F57" s="134"/>
      <c r="G57" s="134"/>
      <c r="H57" s="134"/>
      <c r="I57" s="131"/>
      <c r="J57" s="131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2"/>
      <c r="AE57" s="112"/>
    </row>
    <row r="58" spans="1:31" s="125" customFormat="1" ht="23.25" customHeight="1">
      <c r="A58" s="140"/>
      <c r="B58" s="134"/>
      <c r="C58" s="141"/>
      <c r="D58" s="130"/>
      <c r="E58" s="141"/>
      <c r="F58" s="141"/>
      <c r="G58" s="141"/>
      <c r="H58" s="141"/>
      <c r="I58" s="131"/>
      <c r="J58" s="13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12"/>
    </row>
    <row r="59" spans="1:31" s="125" customFormat="1" ht="20.25" customHeight="1">
      <c r="A59" s="140"/>
      <c r="B59" s="136"/>
      <c r="C59" s="129"/>
      <c r="D59" s="130"/>
      <c r="E59" s="112"/>
      <c r="F59" s="131"/>
      <c r="G59" s="131"/>
      <c r="H59" s="131"/>
      <c r="I59" s="131"/>
      <c r="J59" s="131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32"/>
      <c r="AE59" s="112"/>
    </row>
    <row r="60" spans="1:31" s="125" customFormat="1" ht="23.25" customHeight="1">
      <c r="A60" s="142"/>
      <c r="B60" s="136"/>
      <c r="C60" s="135"/>
      <c r="D60" s="137"/>
      <c r="E60" s="130"/>
      <c r="F60" s="134"/>
      <c r="G60" s="134"/>
      <c r="H60" s="134"/>
      <c r="I60" s="131"/>
      <c r="J60" s="131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2"/>
      <c r="AE60" s="112"/>
    </row>
    <row r="61" spans="1:31" s="125" customFormat="1" ht="13.5">
      <c r="A61" s="127"/>
      <c r="B61" s="128"/>
      <c r="C61" s="129"/>
      <c r="D61" s="130"/>
      <c r="E61" s="143"/>
      <c r="F61" s="131"/>
      <c r="G61" s="131"/>
      <c r="H61" s="131"/>
      <c r="I61" s="131"/>
      <c r="J61" s="131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32"/>
      <c r="AE61" s="112"/>
    </row>
    <row r="62" spans="1:31" s="125" customFormat="1" ht="13.5">
      <c r="A62" s="127"/>
      <c r="B62" s="128"/>
      <c r="C62" s="129"/>
      <c r="D62" s="130"/>
      <c r="E62" s="143"/>
      <c r="F62" s="131"/>
      <c r="G62" s="131"/>
      <c r="H62" s="131"/>
      <c r="I62" s="131"/>
      <c r="J62" s="131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32"/>
      <c r="AE62" s="112"/>
    </row>
    <row r="63" spans="1:31" s="125" customFormat="1" ht="13.5">
      <c r="A63" s="133"/>
      <c r="B63" s="134"/>
      <c r="C63" s="135"/>
      <c r="D63" s="130"/>
      <c r="E63" s="130"/>
      <c r="F63" s="130"/>
      <c r="G63" s="130"/>
      <c r="H63" s="130"/>
      <c r="I63" s="131"/>
      <c r="J63" s="131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2"/>
      <c r="AE63" s="112"/>
    </row>
    <row r="64" spans="1:31" s="125" customFormat="1" ht="12.75" customHeight="1">
      <c r="A64" s="127"/>
      <c r="B64" s="128"/>
      <c r="C64" s="129"/>
      <c r="D64" s="130"/>
      <c r="E64" s="143"/>
      <c r="F64" s="131"/>
      <c r="G64" s="131"/>
      <c r="H64" s="131"/>
      <c r="I64" s="131"/>
      <c r="J64" s="131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32"/>
      <c r="AE64" s="112"/>
    </row>
    <row r="65" spans="1:31" s="125" customFormat="1" ht="13.5">
      <c r="A65" s="127"/>
      <c r="B65" s="128"/>
      <c r="C65" s="129"/>
      <c r="D65" s="130"/>
      <c r="E65" s="143"/>
      <c r="F65" s="131"/>
      <c r="G65" s="131"/>
      <c r="H65" s="131"/>
      <c r="I65" s="131"/>
      <c r="J65" s="131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32"/>
      <c r="AE65" s="112"/>
    </row>
    <row r="66" spans="1:31" s="125" customFormat="1" ht="13.5">
      <c r="A66" s="127"/>
      <c r="B66" s="128"/>
      <c r="C66" s="129"/>
      <c r="D66" s="130"/>
      <c r="E66" s="143"/>
      <c r="F66" s="131"/>
      <c r="G66" s="131"/>
      <c r="H66" s="131"/>
      <c r="I66" s="131"/>
      <c r="J66" s="131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32"/>
      <c r="AE66" s="112"/>
    </row>
    <row r="67" spans="1:31" s="125" customFormat="1" ht="13.5">
      <c r="A67" s="133"/>
      <c r="B67" s="134"/>
      <c r="C67" s="135"/>
      <c r="D67" s="130"/>
      <c r="E67" s="130"/>
      <c r="F67" s="130"/>
      <c r="G67" s="130"/>
      <c r="H67" s="130"/>
      <c r="I67" s="131"/>
      <c r="J67" s="131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2"/>
      <c r="AE67" s="112"/>
    </row>
    <row r="68" spans="1:31" s="125" customFormat="1" ht="13.5">
      <c r="A68" s="133"/>
      <c r="B68" s="136"/>
      <c r="C68" s="135"/>
      <c r="D68" s="130"/>
      <c r="E68" s="130"/>
      <c r="F68" s="134"/>
      <c r="G68" s="134"/>
      <c r="H68" s="134"/>
      <c r="I68" s="131"/>
      <c r="J68" s="131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2"/>
      <c r="AE68" s="112"/>
    </row>
    <row r="69" spans="1:31" s="125" customFormat="1" ht="13.5">
      <c r="A69" s="127"/>
      <c r="B69" s="128"/>
      <c r="C69" s="129"/>
      <c r="D69" s="130"/>
      <c r="E69" s="143"/>
      <c r="F69" s="131"/>
      <c r="G69" s="131"/>
      <c r="H69" s="131"/>
      <c r="I69" s="131"/>
      <c r="J69" s="131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32"/>
      <c r="AE69" s="112"/>
    </row>
    <row r="70" spans="1:31" s="125" customFormat="1" ht="13.5">
      <c r="A70" s="127"/>
      <c r="B70" s="128"/>
      <c r="C70" s="129"/>
      <c r="D70" s="130"/>
      <c r="E70" s="143"/>
      <c r="F70" s="131"/>
      <c r="G70" s="131"/>
      <c r="H70" s="131"/>
      <c r="I70" s="131"/>
      <c r="J70" s="131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32"/>
      <c r="AE70" s="112"/>
    </row>
    <row r="71" spans="1:31" s="125" customFormat="1" ht="13.5">
      <c r="A71" s="127"/>
      <c r="B71" s="128"/>
      <c r="C71" s="129"/>
      <c r="D71" s="130"/>
      <c r="E71" s="143"/>
      <c r="F71" s="131"/>
      <c r="G71" s="131"/>
      <c r="H71" s="131"/>
      <c r="I71" s="131"/>
      <c r="J71" s="131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32"/>
      <c r="AE71" s="112"/>
    </row>
    <row r="72" spans="1:31" s="125" customFormat="1" ht="13.5">
      <c r="A72" s="133"/>
      <c r="B72" s="134"/>
      <c r="C72" s="135"/>
      <c r="D72" s="130"/>
      <c r="E72" s="130"/>
      <c r="F72" s="130"/>
      <c r="G72" s="130"/>
      <c r="H72" s="130"/>
      <c r="I72" s="131"/>
      <c r="J72" s="131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12"/>
    </row>
    <row r="73" spans="1:31" s="125" customFormat="1" ht="23.25" customHeight="1">
      <c r="A73" s="133"/>
      <c r="B73" s="134"/>
      <c r="C73" s="135"/>
      <c r="D73" s="130"/>
      <c r="E73" s="130"/>
      <c r="F73" s="130"/>
      <c r="G73" s="130"/>
      <c r="H73" s="130"/>
      <c r="I73" s="131"/>
      <c r="J73" s="131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2"/>
      <c r="AE73" s="112"/>
    </row>
    <row r="74" spans="1:31" s="125" customFormat="1" ht="13.5">
      <c r="A74" s="144"/>
      <c r="B74" s="134"/>
      <c r="C74" s="134"/>
      <c r="D74" s="130"/>
      <c r="E74" s="134"/>
      <c r="F74" s="134"/>
      <c r="G74" s="134"/>
      <c r="H74" s="134"/>
      <c r="I74" s="131"/>
      <c r="J74" s="131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12"/>
    </row>
    <row r="75" spans="1:31" s="125" customFormat="1" ht="13.5">
      <c r="A75" s="144"/>
      <c r="B75" s="134"/>
      <c r="C75" s="145"/>
      <c r="D75" s="130"/>
      <c r="E75" s="141"/>
      <c r="F75" s="141"/>
      <c r="G75" s="141"/>
      <c r="H75" s="141"/>
      <c r="I75" s="131"/>
      <c r="J75" s="13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32"/>
      <c r="AE75" s="112"/>
    </row>
    <row r="76" spans="1:30" s="125" customFormat="1" ht="13.5">
      <c r="A76" s="146"/>
      <c r="B76" s="147"/>
      <c r="D76" s="119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32"/>
    </row>
    <row r="77" spans="1:30" s="125" customFormat="1" ht="11.25" customHeight="1">
      <c r="A77" s="146"/>
      <c r="B77" s="147"/>
      <c r="D77" s="119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32"/>
    </row>
    <row r="78" spans="1:31" s="125" customFormat="1" ht="13.5">
      <c r="A78" s="146"/>
      <c r="B78" s="147"/>
      <c r="D78" s="119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32"/>
      <c r="AE78" s="149"/>
    </row>
    <row r="79" spans="4:30" ht="12.75"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3"/>
    </row>
    <row r="80" spans="4:30" ht="12.75"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3"/>
    </row>
    <row r="81" spans="1:30" ht="12.75">
      <c r="A81" s="154"/>
      <c r="B81" s="155"/>
      <c r="C81" s="155"/>
      <c r="D81" s="112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7"/>
      <c r="R81" s="157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ht="12.75">
      <c r="A82" s="154"/>
      <c r="B82" s="155"/>
      <c r="C82" s="155"/>
      <c r="D82" s="112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7"/>
      <c r="R82" s="157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ht="12.75">
      <c r="A83" s="158"/>
      <c r="B83" s="159"/>
      <c r="C83" s="159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</row>
    <row r="84" spans="4:30" ht="12.75"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3"/>
    </row>
    <row r="85" spans="4:30" ht="12.75"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3"/>
    </row>
    <row r="86" spans="4:30" ht="12.75"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3"/>
    </row>
    <row r="87" spans="4:30" ht="12.75"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3"/>
    </row>
    <row r="88" spans="4:30" ht="12.75">
      <c r="D88" s="151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3"/>
    </row>
    <row r="89" spans="4:30" ht="12.75"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</row>
    <row r="90" spans="4:30" ht="12.75">
      <c r="D90" s="151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</row>
    <row r="91" spans="4:30" ht="12.75">
      <c r="D91" s="151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</row>
    <row r="92" spans="4:30" ht="12.75">
      <c r="D92" s="151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</row>
    <row r="93" spans="4:30" ht="12.75">
      <c r="D93" s="151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</row>
    <row r="94" spans="4:30" ht="12.75">
      <c r="D94" s="151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</row>
    <row r="95" spans="4:30" ht="12.75">
      <c r="D95" s="151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C95" s="152"/>
      <c r="AD95" s="152"/>
    </row>
  </sheetData>
  <printOptions/>
  <pageMargins left="0.1968503937007874" right="0.1968503937007874" top="1.21" bottom="0.3937007874015748" header="0.22" footer="0.83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7"/>
  <sheetViews>
    <sheetView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2" sqref="C2"/>
    </sheetView>
  </sheetViews>
  <sheetFormatPr defaultColWidth="9.00390625" defaultRowHeight="12.75"/>
  <cols>
    <col min="1" max="1" width="12.875" style="2" customWidth="1"/>
    <col min="2" max="2" width="7.125" style="1" customWidth="1"/>
    <col min="3" max="3" width="8.625" style="2" customWidth="1"/>
    <col min="4" max="4" width="5.75390625" style="2" customWidth="1"/>
    <col min="5" max="5" width="8.125" style="11" customWidth="1"/>
    <col min="6" max="6" width="9.125" style="2" hidden="1" customWidth="1"/>
    <col min="7" max="7" width="6.75390625" style="2" customWidth="1"/>
    <col min="8" max="8" width="7.75390625" style="2" customWidth="1"/>
    <col min="9" max="9" width="6.375" style="2" customWidth="1"/>
    <col min="10" max="10" width="6.25390625" style="2" customWidth="1"/>
    <col min="11" max="11" width="5.75390625" style="2" customWidth="1"/>
    <col min="12" max="12" width="8.375" style="11" customWidth="1"/>
    <col min="13" max="13" width="5.75390625" style="2" customWidth="1"/>
    <col min="14" max="14" width="6.375" style="2" customWidth="1"/>
    <col min="15" max="15" width="6.00390625" style="2" customWidth="1"/>
    <col min="16" max="16" width="5.25390625" style="2" customWidth="1"/>
    <col min="17" max="17" width="5.875" style="2" customWidth="1"/>
    <col min="18" max="18" width="5.75390625" style="2" customWidth="1"/>
    <col min="19" max="19" width="5.875" style="2" customWidth="1"/>
    <col min="20" max="20" width="5.25390625" style="2" customWidth="1"/>
    <col min="21" max="21" width="6.25390625" style="2" customWidth="1"/>
    <col min="22" max="22" width="5.125" style="2" customWidth="1"/>
    <col min="23" max="23" width="5.00390625" style="2" customWidth="1"/>
    <col min="24" max="24" width="5.375" style="2" customWidth="1"/>
    <col min="25" max="25" width="8.25390625" style="2" hidden="1" customWidth="1"/>
    <col min="26" max="26" width="8.375" style="2" hidden="1" customWidth="1"/>
    <col min="27" max="16384" width="9.125" style="2" customWidth="1"/>
  </cols>
  <sheetData>
    <row r="1" spans="1:25" ht="11.25">
      <c r="A1" s="7"/>
      <c r="B1" s="28"/>
      <c r="C1" s="7"/>
      <c r="D1" s="7"/>
      <c r="E1" s="20"/>
      <c r="F1" s="7"/>
      <c r="G1" s="7"/>
      <c r="H1" s="7"/>
      <c r="I1" s="7"/>
      <c r="J1" s="7"/>
      <c r="K1" s="7"/>
      <c r="L1" s="20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63" t="s">
        <v>139</v>
      </c>
      <c r="Y1" s="7"/>
    </row>
    <row r="2" spans="2:25" ht="15.75">
      <c r="B2" s="33" t="s">
        <v>82</v>
      </c>
      <c r="C2" s="7"/>
      <c r="D2" s="7"/>
      <c r="E2" s="55"/>
      <c r="F2" s="5"/>
      <c r="G2" s="5"/>
      <c r="H2" s="5"/>
      <c r="I2" s="5"/>
      <c r="J2" s="5"/>
      <c r="K2" s="7"/>
      <c r="L2" s="20"/>
      <c r="M2" s="7"/>
      <c r="N2" s="5"/>
      <c r="O2" s="7"/>
      <c r="P2" s="7"/>
      <c r="Q2" s="7"/>
      <c r="R2" s="7"/>
      <c r="S2" s="7"/>
      <c r="T2" s="7"/>
      <c r="U2" s="7"/>
      <c r="V2" s="7"/>
      <c r="W2" s="7"/>
      <c r="X2" s="7"/>
      <c r="Y2" s="34"/>
    </row>
    <row r="3" spans="1:25" ht="11.25">
      <c r="A3" s="7"/>
      <c r="B3" s="28"/>
      <c r="C3" s="5"/>
      <c r="D3" s="5"/>
      <c r="E3" s="55"/>
      <c r="F3" s="5"/>
      <c r="G3" s="5"/>
      <c r="H3" s="5"/>
      <c r="I3" s="5"/>
      <c r="J3" s="5"/>
      <c r="K3" s="7"/>
      <c r="L3" s="20"/>
      <c r="M3" s="7"/>
      <c r="N3" s="5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6" s="3" customFormat="1" ht="42">
      <c r="A4" s="12" t="s">
        <v>0</v>
      </c>
      <c r="B4" s="12" t="s">
        <v>114</v>
      </c>
      <c r="C4" s="12" t="s">
        <v>1</v>
      </c>
      <c r="D4" s="12" t="s">
        <v>6</v>
      </c>
      <c r="E4" s="56" t="s">
        <v>2</v>
      </c>
      <c r="F4" s="12"/>
      <c r="G4" s="12" t="s">
        <v>3</v>
      </c>
      <c r="H4" s="12" t="s">
        <v>4</v>
      </c>
      <c r="I4" s="15" t="s">
        <v>5</v>
      </c>
      <c r="J4" s="15" t="s">
        <v>26</v>
      </c>
      <c r="K4" s="15" t="s">
        <v>8</v>
      </c>
      <c r="L4" s="44" t="s">
        <v>77</v>
      </c>
      <c r="M4" s="44" t="s">
        <v>19</v>
      </c>
      <c r="N4" s="12" t="s">
        <v>9</v>
      </c>
      <c r="O4" s="12" t="s">
        <v>10</v>
      </c>
      <c r="P4" s="12" t="s">
        <v>65</v>
      </c>
      <c r="Q4" s="12" t="s">
        <v>11</v>
      </c>
      <c r="R4" s="12" t="s">
        <v>128</v>
      </c>
      <c r="S4" s="12" t="s">
        <v>123</v>
      </c>
      <c r="T4" s="12" t="s">
        <v>124</v>
      </c>
      <c r="U4" s="12" t="s">
        <v>7</v>
      </c>
      <c r="V4" s="12" t="s">
        <v>125</v>
      </c>
      <c r="W4" s="12" t="s">
        <v>127</v>
      </c>
      <c r="X4" s="12" t="s">
        <v>74</v>
      </c>
      <c r="Y4" s="12" t="s">
        <v>28</v>
      </c>
      <c r="Z4" s="45" t="s">
        <v>71</v>
      </c>
    </row>
    <row r="5" spans="1:26" ht="11.25">
      <c r="A5" s="40" t="s">
        <v>30</v>
      </c>
      <c r="B5" s="43" t="s">
        <v>61</v>
      </c>
      <c r="C5" s="14">
        <f>SUM(D5:X5)</f>
        <v>79575</v>
      </c>
      <c r="D5" s="32"/>
      <c r="E5" s="25">
        <v>44249</v>
      </c>
      <c r="F5" s="17"/>
      <c r="G5" s="13">
        <v>3700</v>
      </c>
      <c r="H5" s="13">
        <v>8463</v>
      </c>
      <c r="I5" s="13">
        <v>1175</v>
      </c>
      <c r="J5" s="13"/>
      <c r="K5" s="4">
        <v>3000</v>
      </c>
      <c r="L5" s="35"/>
      <c r="M5" s="35"/>
      <c r="N5" s="13">
        <v>15000</v>
      </c>
      <c r="O5" s="13"/>
      <c r="P5" s="13"/>
      <c r="Q5" s="13">
        <v>2000</v>
      </c>
      <c r="R5" s="13"/>
      <c r="S5" s="13"/>
      <c r="T5" s="13"/>
      <c r="U5" s="4">
        <v>1988</v>
      </c>
      <c r="V5" s="4"/>
      <c r="W5" s="4"/>
      <c r="X5" s="4"/>
      <c r="Y5" s="13">
        <f aca="true" t="shared" si="0" ref="Y5:Y44">D5+K5+O5+Q5+P5+J5+M5+T5+V5+W5+R5+S5</f>
        <v>5000</v>
      </c>
      <c r="Z5" s="46">
        <v>11880</v>
      </c>
    </row>
    <row r="6" spans="1:26" ht="11.25">
      <c r="A6" s="40" t="s">
        <v>83</v>
      </c>
      <c r="B6" s="43">
        <v>2</v>
      </c>
      <c r="C6" s="14">
        <f aca="true" t="shared" si="1" ref="C6:C42">SUM(D6:X6)</f>
        <v>131840</v>
      </c>
      <c r="D6" s="32"/>
      <c r="E6" s="25">
        <v>95800</v>
      </c>
      <c r="F6" s="13"/>
      <c r="G6" s="13">
        <v>7850</v>
      </c>
      <c r="H6" s="13">
        <v>18418</v>
      </c>
      <c r="I6" s="13">
        <v>2557</v>
      </c>
      <c r="J6" s="13"/>
      <c r="K6" s="4"/>
      <c r="L6" s="35">
        <v>2000</v>
      </c>
      <c r="M6" s="35"/>
      <c r="N6" s="13"/>
      <c r="O6" s="13"/>
      <c r="P6" s="13"/>
      <c r="Q6" s="13"/>
      <c r="R6" s="13"/>
      <c r="S6" s="13"/>
      <c r="T6" s="13"/>
      <c r="U6" s="4">
        <v>5215</v>
      </c>
      <c r="V6" s="4"/>
      <c r="W6" s="4"/>
      <c r="X6" s="4"/>
      <c r="Y6" s="13">
        <f t="shared" si="0"/>
        <v>0</v>
      </c>
      <c r="Z6" s="46">
        <v>6930</v>
      </c>
    </row>
    <row r="7" spans="1:26" ht="11.25">
      <c r="A7" s="40" t="s">
        <v>32</v>
      </c>
      <c r="B7" s="43" t="s">
        <v>62</v>
      </c>
      <c r="C7" s="14">
        <f t="shared" si="1"/>
        <v>85209</v>
      </c>
      <c r="D7" s="32"/>
      <c r="E7" s="25">
        <v>46102</v>
      </c>
      <c r="F7" s="13"/>
      <c r="G7" s="13">
        <v>2852</v>
      </c>
      <c r="H7" s="13">
        <v>8640</v>
      </c>
      <c r="I7" s="13">
        <v>1200</v>
      </c>
      <c r="J7" s="13"/>
      <c r="K7" s="4">
        <v>1000</v>
      </c>
      <c r="L7" s="35"/>
      <c r="M7" s="35"/>
      <c r="N7" s="13">
        <v>23427</v>
      </c>
      <c r="O7" s="13"/>
      <c r="P7" s="13"/>
      <c r="Q7" s="13"/>
      <c r="R7" s="13"/>
      <c r="S7" s="13"/>
      <c r="T7" s="13"/>
      <c r="U7" s="4">
        <v>1988</v>
      </c>
      <c r="V7" s="4"/>
      <c r="W7" s="4"/>
      <c r="X7" s="4"/>
      <c r="Y7" s="13">
        <f t="shared" si="0"/>
        <v>1000</v>
      </c>
      <c r="Z7" s="46">
        <v>6930</v>
      </c>
    </row>
    <row r="8" spans="1:26" ht="11.25">
      <c r="A8" s="40" t="s">
        <v>84</v>
      </c>
      <c r="B8" s="43">
        <v>6</v>
      </c>
      <c r="C8" s="14">
        <f t="shared" si="1"/>
        <v>218939</v>
      </c>
      <c r="D8" s="32"/>
      <c r="E8" s="25">
        <v>144475</v>
      </c>
      <c r="F8" s="13"/>
      <c r="G8" s="13">
        <v>12134</v>
      </c>
      <c r="H8" s="13">
        <v>28783</v>
      </c>
      <c r="I8" s="13">
        <v>3995</v>
      </c>
      <c r="J8" s="13"/>
      <c r="K8" s="4">
        <v>3000</v>
      </c>
      <c r="L8" s="35"/>
      <c r="M8" s="35"/>
      <c r="N8" s="13">
        <v>13629</v>
      </c>
      <c r="O8" s="13">
        <v>600</v>
      </c>
      <c r="P8" s="13"/>
      <c r="Q8" s="13">
        <v>1400</v>
      </c>
      <c r="R8" s="13"/>
      <c r="S8" s="13"/>
      <c r="T8" s="13"/>
      <c r="U8" s="13">
        <v>10923</v>
      </c>
      <c r="V8" s="13"/>
      <c r="W8" s="13"/>
      <c r="X8" s="13"/>
      <c r="Y8" s="13">
        <f t="shared" si="0"/>
        <v>5000</v>
      </c>
      <c r="Z8" s="46">
        <v>14850</v>
      </c>
    </row>
    <row r="9" spans="1:26" ht="11.25">
      <c r="A9" s="38" t="s">
        <v>33</v>
      </c>
      <c r="B9" s="43" t="s">
        <v>63</v>
      </c>
      <c r="C9" s="14">
        <f t="shared" si="1"/>
        <v>110349</v>
      </c>
      <c r="D9" s="32"/>
      <c r="E9" s="25">
        <v>79363</v>
      </c>
      <c r="F9" s="13"/>
      <c r="G9" s="13">
        <v>6681</v>
      </c>
      <c r="H9" s="13">
        <v>15453</v>
      </c>
      <c r="I9" s="13">
        <v>2145</v>
      </c>
      <c r="J9" s="13"/>
      <c r="K9" s="4">
        <v>500</v>
      </c>
      <c r="L9" s="35"/>
      <c r="M9" s="35"/>
      <c r="N9" s="13">
        <v>2184</v>
      </c>
      <c r="O9" s="13"/>
      <c r="P9" s="13"/>
      <c r="Q9" s="13"/>
      <c r="R9" s="13"/>
      <c r="S9" s="13"/>
      <c r="T9" s="13"/>
      <c r="U9" s="4">
        <v>4023</v>
      </c>
      <c r="V9" s="4"/>
      <c r="W9" s="4"/>
      <c r="X9" s="4"/>
      <c r="Y9" s="13">
        <f t="shared" si="0"/>
        <v>500</v>
      </c>
      <c r="Z9" s="46">
        <v>10890</v>
      </c>
    </row>
    <row r="10" spans="1:26" ht="11.25">
      <c r="A10" s="38" t="s">
        <v>85</v>
      </c>
      <c r="B10" s="43">
        <v>8</v>
      </c>
      <c r="C10" s="14">
        <f t="shared" si="1"/>
        <v>189955</v>
      </c>
      <c r="D10" s="32"/>
      <c r="E10" s="25">
        <v>128507</v>
      </c>
      <c r="F10" s="13"/>
      <c r="G10" s="13">
        <v>10700</v>
      </c>
      <c r="H10" s="13">
        <v>24119</v>
      </c>
      <c r="I10" s="13">
        <v>3348</v>
      </c>
      <c r="J10" s="13"/>
      <c r="K10" s="4">
        <v>500</v>
      </c>
      <c r="L10" s="35"/>
      <c r="M10" s="35"/>
      <c r="N10" s="13">
        <v>14730</v>
      </c>
      <c r="O10" s="13"/>
      <c r="P10" s="13"/>
      <c r="Q10" s="13">
        <v>1000</v>
      </c>
      <c r="R10" s="13"/>
      <c r="S10" s="13"/>
      <c r="T10" s="13"/>
      <c r="U10" s="4">
        <v>7051</v>
      </c>
      <c r="V10" s="4"/>
      <c r="W10" s="4"/>
      <c r="X10" s="4"/>
      <c r="Y10" s="13">
        <f t="shared" si="0"/>
        <v>1500</v>
      </c>
      <c r="Z10" s="46">
        <v>10395</v>
      </c>
    </row>
    <row r="11" spans="1:26" ht="11.25">
      <c r="A11" s="38" t="s">
        <v>117</v>
      </c>
      <c r="B11" s="43" t="s">
        <v>64</v>
      </c>
      <c r="C11" s="14">
        <f t="shared" si="1"/>
        <v>60495</v>
      </c>
      <c r="D11" s="32"/>
      <c r="E11" s="25">
        <v>38550</v>
      </c>
      <c r="F11" s="13"/>
      <c r="G11" s="13">
        <v>3400</v>
      </c>
      <c r="H11" s="13">
        <v>7404</v>
      </c>
      <c r="I11" s="13">
        <v>1028</v>
      </c>
      <c r="J11" s="13"/>
      <c r="K11" s="4"/>
      <c r="L11" s="35">
        <v>2000</v>
      </c>
      <c r="M11" s="35"/>
      <c r="N11" s="13">
        <v>6523</v>
      </c>
      <c r="O11" s="13"/>
      <c r="P11" s="13"/>
      <c r="Q11" s="13"/>
      <c r="R11" s="13"/>
      <c r="S11" s="13"/>
      <c r="T11" s="13"/>
      <c r="U11" s="4">
        <v>1590</v>
      </c>
      <c r="V11" s="4"/>
      <c r="W11" s="4"/>
      <c r="X11" s="4"/>
      <c r="Y11" s="13">
        <f t="shared" si="0"/>
        <v>0</v>
      </c>
      <c r="Z11" s="46">
        <v>2090</v>
      </c>
    </row>
    <row r="12" spans="1:26" ht="11.25">
      <c r="A12" s="38" t="s">
        <v>86</v>
      </c>
      <c r="B12" s="43">
        <v>10</v>
      </c>
      <c r="C12" s="14">
        <f t="shared" si="1"/>
        <v>331455</v>
      </c>
      <c r="D12" s="32"/>
      <c r="E12" s="25">
        <v>212866</v>
      </c>
      <c r="F12" s="13"/>
      <c r="G12" s="13">
        <v>17715</v>
      </c>
      <c r="H12" s="13">
        <v>42314</v>
      </c>
      <c r="I12" s="13">
        <v>5874</v>
      </c>
      <c r="J12" s="13"/>
      <c r="K12" s="4">
        <v>2000</v>
      </c>
      <c r="L12" s="35">
        <v>3000</v>
      </c>
      <c r="M12" s="35"/>
      <c r="N12" s="13">
        <v>34776</v>
      </c>
      <c r="O12" s="13"/>
      <c r="P12" s="13"/>
      <c r="Q12" s="13"/>
      <c r="R12" s="13"/>
      <c r="S12" s="13"/>
      <c r="T12" s="13"/>
      <c r="U12" s="4">
        <v>12910</v>
      </c>
      <c r="V12" s="4"/>
      <c r="W12" s="4"/>
      <c r="X12" s="4"/>
      <c r="Y12" s="13">
        <f t="shared" si="0"/>
        <v>2000</v>
      </c>
      <c r="Z12" s="46">
        <v>13365</v>
      </c>
    </row>
    <row r="13" spans="1:26" ht="11.25">
      <c r="A13" s="38" t="s">
        <v>87</v>
      </c>
      <c r="B13" s="43">
        <v>11</v>
      </c>
      <c r="C13" s="14">
        <f t="shared" si="1"/>
        <v>152123</v>
      </c>
      <c r="D13" s="32"/>
      <c r="E13" s="25">
        <v>107498</v>
      </c>
      <c r="F13" s="13"/>
      <c r="G13" s="13">
        <v>9370</v>
      </c>
      <c r="H13" s="13">
        <v>20899</v>
      </c>
      <c r="I13" s="13">
        <v>2901</v>
      </c>
      <c r="J13" s="13"/>
      <c r="K13" s="4">
        <v>1000</v>
      </c>
      <c r="L13" s="35"/>
      <c r="M13" s="35"/>
      <c r="N13" s="13">
        <v>4000</v>
      </c>
      <c r="O13" s="13"/>
      <c r="P13" s="13"/>
      <c r="Q13" s="13"/>
      <c r="R13" s="13"/>
      <c r="S13" s="13"/>
      <c r="T13" s="13"/>
      <c r="U13" s="4">
        <v>6455</v>
      </c>
      <c r="V13" s="4"/>
      <c r="W13" s="4"/>
      <c r="X13" s="4"/>
      <c r="Y13" s="13">
        <f t="shared" si="0"/>
        <v>1000</v>
      </c>
      <c r="Z13" s="46">
        <v>10395</v>
      </c>
    </row>
    <row r="14" spans="1:26" ht="11.25">
      <c r="A14" s="38" t="s">
        <v>88</v>
      </c>
      <c r="B14" s="43">
        <v>12</v>
      </c>
      <c r="C14" s="14">
        <f t="shared" si="1"/>
        <v>234157</v>
      </c>
      <c r="D14" s="32">
        <v>100</v>
      </c>
      <c r="E14" s="25">
        <v>156849</v>
      </c>
      <c r="F14" s="13"/>
      <c r="G14" s="13">
        <v>12851</v>
      </c>
      <c r="H14" s="13">
        <v>30123</v>
      </c>
      <c r="I14" s="13">
        <v>4181</v>
      </c>
      <c r="J14" s="13"/>
      <c r="K14" s="4">
        <v>1000</v>
      </c>
      <c r="L14" s="35">
        <v>5000</v>
      </c>
      <c r="M14" s="35">
        <v>500</v>
      </c>
      <c r="N14" s="13">
        <v>11270</v>
      </c>
      <c r="O14" s="13">
        <v>1000</v>
      </c>
      <c r="P14" s="13"/>
      <c r="Q14" s="13">
        <v>1600</v>
      </c>
      <c r="R14" s="13"/>
      <c r="S14" s="13"/>
      <c r="T14" s="13"/>
      <c r="U14" s="4">
        <v>9683</v>
      </c>
      <c r="V14" s="4"/>
      <c r="W14" s="4"/>
      <c r="X14" s="4"/>
      <c r="Y14" s="13">
        <f t="shared" si="0"/>
        <v>4200</v>
      </c>
      <c r="Z14" s="46">
        <v>18315</v>
      </c>
    </row>
    <row r="15" spans="1:26" ht="11.25">
      <c r="A15" s="38" t="s">
        <v>13</v>
      </c>
      <c r="B15" s="43">
        <v>13</v>
      </c>
      <c r="C15" s="14">
        <f t="shared" si="1"/>
        <v>155244</v>
      </c>
      <c r="D15" s="32">
        <v>500</v>
      </c>
      <c r="E15" s="25">
        <v>104043</v>
      </c>
      <c r="F15" s="13"/>
      <c r="G15" s="13">
        <v>8480</v>
      </c>
      <c r="H15" s="13">
        <v>20547</v>
      </c>
      <c r="I15" s="13">
        <v>2852</v>
      </c>
      <c r="J15" s="13"/>
      <c r="K15" s="13">
        <v>1100</v>
      </c>
      <c r="L15" s="25"/>
      <c r="M15" s="25"/>
      <c r="N15" s="13">
        <v>9246</v>
      </c>
      <c r="O15" s="13"/>
      <c r="P15" s="13"/>
      <c r="Q15" s="13">
        <v>1000</v>
      </c>
      <c r="R15" s="13"/>
      <c r="S15" s="13"/>
      <c r="T15" s="13">
        <v>400</v>
      </c>
      <c r="U15" s="4">
        <v>7076</v>
      </c>
      <c r="V15" s="4"/>
      <c r="W15" s="4"/>
      <c r="X15" s="4"/>
      <c r="Y15" s="13">
        <f t="shared" si="0"/>
        <v>3000</v>
      </c>
      <c r="Z15" s="46">
        <v>7315</v>
      </c>
    </row>
    <row r="16" spans="1:26" ht="11.25">
      <c r="A16" s="38" t="s">
        <v>90</v>
      </c>
      <c r="B16" s="43">
        <v>14</v>
      </c>
      <c r="C16" s="14">
        <f t="shared" si="1"/>
        <v>140837</v>
      </c>
      <c r="D16" s="32"/>
      <c r="E16" s="25">
        <v>87620</v>
      </c>
      <c r="F16" s="13"/>
      <c r="G16" s="13">
        <v>7133</v>
      </c>
      <c r="H16" s="13">
        <v>17684</v>
      </c>
      <c r="I16" s="13">
        <v>2455</v>
      </c>
      <c r="J16" s="13"/>
      <c r="K16" s="4"/>
      <c r="L16" s="35"/>
      <c r="M16" s="35"/>
      <c r="N16" s="13">
        <v>21970</v>
      </c>
      <c r="O16" s="13"/>
      <c r="P16" s="13"/>
      <c r="Q16" s="13"/>
      <c r="R16" s="13"/>
      <c r="S16" s="13"/>
      <c r="T16" s="13"/>
      <c r="U16" s="4">
        <v>3975</v>
      </c>
      <c r="V16" s="4"/>
      <c r="W16" s="4"/>
      <c r="X16" s="4"/>
      <c r="Y16" s="13">
        <f t="shared" si="0"/>
        <v>0</v>
      </c>
      <c r="Z16" s="46">
        <v>5940</v>
      </c>
    </row>
    <row r="17" spans="1:26" ht="11.25">
      <c r="A17" s="38" t="s">
        <v>91</v>
      </c>
      <c r="B17" s="43">
        <v>16</v>
      </c>
      <c r="C17" s="14">
        <f t="shared" si="1"/>
        <v>214199</v>
      </c>
      <c r="D17" s="32">
        <v>500</v>
      </c>
      <c r="E17" s="25">
        <v>149523</v>
      </c>
      <c r="F17" s="13"/>
      <c r="G17" s="13">
        <v>11689</v>
      </c>
      <c r="H17" s="13">
        <v>28871</v>
      </c>
      <c r="I17" s="13">
        <v>4008</v>
      </c>
      <c r="J17" s="13"/>
      <c r="K17" s="4">
        <v>1800</v>
      </c>
      <c r="L17" s="35">
        <v>2000</v>
      </c>
      <c r="M17" s="35"/>
      <c r="N17" s="13">
        <v>5000</v>
      </c>
      <c r="O17" s="13">
        <v>600</v>
      </c>
      <c r="P17" s="13"/>
      <c r="Q17" s="13">
        <v>700</v>
      </c>
      <c r="R17" s="13"/>
      <c r="S17" s="13"/>
      <c r="T17" s="13"/>
      <c r="U17" s="4">
        <v>9508</v>
      </c>
      <c r="V17" s="4"/>
      <c r="W17" s="4"/>
      <c r="X17" s="4"/>
      <c r="Y17" s="13">
        <f t="shared" si="0"/>
        <v>3600</v>
      </c>
      <c r="Z17" s="46">
        <v>9405</v>
      </c>
    </row>
    <row r="18" spans="1:26" ht="11.25">
      <c r="A18" s="38" t="s">
        <v>92</v>
      </c>
      <c r="B18" s="43">
        <v>17</v>
      </c>
      <c r="C18" s="14">
        <f t="shared" si="1"/>
        <v>171216</v>
      </c>
      <c r="D18" s="32">
        <v>600</v>
      </c>
      <c r="E18" s="25">
        <v>114890</v>
      </c>
      <c r="F18" s="13"/>
      <c r="G18" s="13">
        <v>9400</v>
      </c>
      <c r="H18" s="13">
        <v>21190</v>
      </c>
      <c r="I18" s="13">
        <v>2941</v>
      </c>
      <c r="J18" s="13"/>
      <c r="K18" s="4">
        <v>3500</v>
      </c>
      <c r="L18" s="35"/>
      <c r="M18" s="35"/>
      <c r="N18" s="13">
        <v>8060</v>
      </c>
      <c r="O18" s="13">
        <v>1100</v>
      </c>
      <c r="P18" s="13">
        <v>300</v>
      </c>
      <c r="Q18" s="13">
        <v>1700</v>
      </c>
      <c r="R18" s="13"/>
      <c r="S18" s="13"/>
      <c r="T18" s="13">
        <v>380</v>
      </c>
      <c r="U18" s="4">
        <v>6455</v>
      </c>
      <c r="V18" s="4">
        <v>600</v>
      </c>
      <c r="W18" s="4">
        <v>100</v>
      </c>
      <c r="X18" s="4"/>
      <c r="Y18" s="13">
        <f t="shared" si="0"/>
        <v>8280</v>
      </c>
      <c r="Z18" s="46">
        <v>10395</v>
      </c>
    </row>
    <row r="19" spans="1:26" ht="11.25">
      <c r="A19" s="38" t="s">
        <v>118</v>
      </c>
      <c r="B19" s="43">
        <v>18</v>
      </c>
      <c r="C19" s="14">
        <f t="shared" si="1"/>
        <v>319225</v>
      </c>
      <c r="D19" s="32"/>
      <c r="E19" s="25">
        <v>226229</v>
      </c>
      <c r="F19" s="13"/>
      <c r="G19" s="13">
        <v>17794</v>
      </c>
      <c r="H19" s="13">
        <v>42370</v>
      </c>
      <c r="I19" s="13">
        <v>5881</v>
      </c>
      <c r="J19" s="13"/>
      <c r="K19" s="4">
        <v>3000</v>
      </c>
      <c r="L19" s="35"/>
      <c r="M19" s="35"/>
      <c r="N19" s="13">
        <v>6000</v>
      </c>
      <c r="O19" s="13"/>
      <c r="P19" s="13"/>
      <c r="Q19" s="13">
        <v>4000</v>
      </c>
      <c r="R19" s="13"/>
      <c r="S19" s="13"/>
      <c r="T19" s="13"/>
      <c r="U19" s="4">
        <v>13951</v>
      </c>
      <c r="V19" s="4"/>
      <c r="W19" s="4"/>
      <c r="X19" s="4"/>
      <c r="Y19" s="13">
        <f t="shared" si="0"/>
        <v>7000</v>
      </c>
      <c r="Z19" s="46">
        <v>15840</v>
      </c>
    </row>
    <row r="20" spans="1:26" ht="11.25">
      <c r="A20" s="38" t="s">
        <v>119</v>
      </c>
      <c r="B20" s="43" t="s">
        <v>66</v>
      </c>
      <c r="C20" s="14">
        <f t="shared" si="1"/>
        <v>96431</v>
      </c>
      <c r="D20" s="32"/>
      <c r="E20" s="25">
        <v>68677</v>
      </c>
      <c r="F20" s="13"/>
      <c r="G20" s="13">
        <v>5814</v>
      </c>
      <c r="H20" s="13">
        <v>13148</v>
      </c>
      <c r="I20" s="13">
        <v>1825</v>
      </c>
      <c r="J20" s="13"/>
      <c r="K20" s="4">
        <v>1100</v>
      </c>
      <c r="L20" s="35"/>
      <c r="M20" s="35"/>
      <c r="N20" s="13">
        <v>1584</v>
      </c>
      <c r="O20" s="13"/>
      <c r="P20" s="13"/>
      <c r="Q20" s="13">
        <v>1500</v>
      </c>
      <c r="R20" s="13"/>
      <c r="S20" s="13"/>
      <c r="T20" s="13"/>
      <c r="U20" s="4">
        <v>2783</v>
      </c>
      <c r="V20" s="4"/>
      <c r="W20" s="4"/>
      <c r="X20" s="4"/>
      <c r="Y20" s="13">
        <f t="shared" si="0"/>
        <v>2600</v>
      </c>
      <c r="Z20" s="46">
        <v>6930</v>
      </c>
    </row>
    <row r="21" spans="1:26" ht="11.25">
      <c r="A21" s="38" t="s">
        <v>94</v>
      </c>
      <c r="B21" s="43">
        <v>20</v>
      </c>
      <c r="C21" s="14">
        <f t="shared" si="1"/>
        <v>200830</v>
      </c>
      <c r="D21" s="32">
        <v>800</v>
      </c>
      <c r="E21" s="25">
        <v>143603</v>
      </c>
      <c r="F21" s="13"/>
      <c r="G21" s="13">
        <v>11145</v>
      </c>
      <c r="H21" s="13">
        <v>27510</v>
      </c>
      <c r="I21" s="13">
        <v>3819</v>
      </c>
      <c r="J21" s="13">
        <v>1800</v>
      </c>
      <c r="K21" s="4">
        <v>1200</v>
      </c>
      <c r="L21" s="35"/>
      <c r="M21" s="35"/>
      <c r="N21" s="13">
        <v>1065</v>
      </c>
      <c r="O21" s="13">
        <v>1000</v>
      </c>
      <c r="P21" s="13"/>
      <c r="Q21" s="13"/>
      <c r="R21" s="13"/>
      <c r="S21" s="13"/>
      <c r="T21" s="13"/>
      <c r="U21" s="4">
        <v>8888</v>
      </c>
      <c r="V21" s="4"/>
      <c r="W21" s="4"/>
      <c r="X21" s="4"/>
      <c r="Y21" s="13">
        <f t="shared" si="0"/>
        <v>4800</v>
      </c>
      <c r="Z21" s="46">
        <v>9405</v>
      </c>
    </row>
    <row r="22" spans="1:26" ht="11.25">
      <c r="A22" s="38" t="s">
        <v>95</v>
      </c>
      <c r="B22" s="43">
        <v>21</v>
      </c>
      <c r="C22" s="14">
        <f t="shared" si="1"/>
        <v>279039</v>
      </c>
      <c r="D22" s="32">
        <v>200</v>
      </c>
      <c r="E22" s="25">
        <v>182850</v>
      </c>
      <c r="F22" s="13"/>
      <c r="G22" s="13">
        <v>13500</v>
      </c>
      <c r="H22" s="13">
        <v>33676</v>
      </c>
      <c r="I22" s="13">
        <v>4675</v>
      </c>
      <c r="J22" s="13"/>
      <c r="K22" s="4">
        <v>3900</v>
      </c>
      <c r="L22" s="35"/>
      <c r="M22" s="35">
        <v>300</v>
      </c>
      <c r="N22" s="13"/>
      <c r="O22" s="13">
        <v>1000</v>
      </c>
      <c r="P22" s="13">
        <v>500</v>
      </c>
      <c r="Q22" s="13">
        <v>600</v>
      </c>
      <c r="R22" s="13"/>
      <c r="S22" s="13"/>
      <c r="T22" s="13">
        <v>500</v>
      </c>
      <c r="U22" s="13">
        <v>12338</v>
      </c>
      <c r="V22" s="13"/>
      <c r="W22" s="13"/>
      <c r="X22" s="13">
        <v>25000</v>
      </c>
      <c r="Y22" s="13">
        <f t="shared" si="0"/>
        <v>7000</v>
      </c>
      <c r="Z22" s="46">
        <v>10395</v>
      </c>
    </row>
    <row r="23" spans="1:26" ht="11.25">
      <c r="A23" s="38" t="s">
        <v>96</v>
      </c>
      <c r="B23" s="43">
        <v>23</v>
      </c>
      <c r="C23" s="14">
        <f t="shared" si="1"/>
        <v>196860</v>
      </c>
      <c r="D23" s="32"/>
      <c r="E23" s="25">
        <v>130051</v>
      </c>
      <c r="F23" s="13"/>
      <c r="G23" s="13">
        <v>10196</v>
      </c>
      <c r="H23" s="13">
        <v>24537</v>
      </c>
      <c r="I23" s="13">
        <v>3406</v>
      </c>
      <c r="J23" s="13"/>
      <c r="K23" s="4">
        <v>3600</v>
      </c>
      <c r="L23" s="35"/>
      <c r="M23" s="35"/>
      <c r="N23" s="13">
        <v>12180</v>
      </c>
      <c r="O23" s="13">
        <v>700</v>
      </c>
      <c r="P23" s="13">
        <v>200</v>
      </c>
      <c r="Q23" s="13">
        <v>3100</v>
      </c>
      <c r="R23" s="13"/>
      <c r="S23" s="13"/>
      <c r="T23" s="13">
        <v>400</v>
      </c>
      <c r="U23" s="13">
        <v>8490</v>
      </c>
      <c r="V23" s="13"/>
      <c r="W23" s="13"/>
      <c r="X23" s="13"/>
      <c r="Y23" s="13">
        <f t="shared" si="0"/>
        <v>8000</v>
      </c>
      <c r="Z23" s="46">
        <v>7920</v>
      </c>
    </row>
    <row r="24" spans="1:26" ht="11.25">
      <c r="A24" s="38" t="s">
        <v>116</v>
      </c>
      <c r="B24" s="43">
        <v>26</v>
      </c>
      <c r="C24" s="14">
        <f t="shared" si="1"/>
        <v>215731</v>
      </c>
      <c r="D24" s="32">
        <v>800</v>
      </c>
      <c r="E24" s="25">
        <v>149389</v>
      </c>
      <c r="F24" s="13"/>
      <c r="G24" s="13">
        <v>11981</v>
      </c>
      <c r="H24" s="13">
        <v>28907</v>
      </c>
      <c r="I24" s="13">
        <v>4013</v>
      </c>
      <c r="J24" s="13"/>
      <c r="K24" s="4">
        <v>800</v>
      </c>
      <c r="L24" s="35">
        <v>2700</v>
      </c>
      <c r="M24" s="35"/>
      <c r="N24" s="13">
        <v>6258</v>
      </c>
      <c r="O24" s="13"/>
      <c r="P24" s="13">
        <v>400</v>
      </c>
      <c r="Q24" s="13">
        <v>800</v>
      </c>
      <c r="R24" s="13"/>
      <c r="S24" s="13"/>
      <c r="T24" s="13"/>
      <c r="U24" s="4">
        <v>9683</v>
      </c>
      <c r="V24" s="4"/>
      <c r="W24" s="4"/>
      <c r="X24" s="4"/>
      <c r="Y24" s="13">
        <f t="shared" si="0"/>
        <v>2800</v>
      </c>
      <c r="Z24" s="46">
        <v>7920</v>
      </c>
    </row>
    <row r="25" spans="1:26" ht="11.25">
      <c r="A25" s="38" t="s">
        <v>40</v>
      </c>
      <c r="B25" s="43" t="s">
        <v>67</v>
      </c>
      <c r="C25" s="14">
        <f t="shared" si="1"/>
        <v>73294</v>
      </c>
      <c r="D25" s="32"/>
      <c r="E25" s="25">
        <v>52141</v>
      </c>
      <c r="F25" s="13"/>
      <c r="G25" s="13">
        <v>4320</v>
      </c>
      <c r="H25" s="13">
        <v>9965</v>
      </c>
      <c r="I25" s="13">
        <v>1383</v>
      </c>
      <c r="J25" s="13"/>
      <c r="K25" s="4">
        <v>900</v>
      </c>
      <c r="L25" s="35"/>
      <c r="M25" s="35"/>
      <c r="N25" s="13">
        <v>1500</v>
      </c>
      <c r="O25" s="13"/>
      <c r="P25" s="13"/>
      <c r="Q25" s="13">
        <v>700</v>
      </c>
      <c r="R25" s="13"/>
      <c r="S25" s="13"/>
      <c r="T25" s="13"/>
      <c r="U25" s="4">
        <v>2385</v>
      </c>
      <c r="V25" s="4"/>
      <c r="W25" s="4"/>
      <c r="X25" s="4"/>
      <c r="Y25" s="13">
        <f t="shared" si="0"/>
        <v>1600</v>
      </c>
      <c r="Z25" s="46">
        <v>7425</v>
      </c>
    </row>
    <row r="26" spans="1:26" ht="11.25">
      <c r="A26" s="38" t="s">
        <v>98</v>
      </c>
      <c r="B26" s="43">
        <v>28</v>
      </c>
      <c r="C26" s="14">
        <f t="shared" si="1"/>
        <v>234248</v>
      </c>
      <c r="D26" s="32"/>
      <c r="E26" s="25">
        <v>165564</v>
      </c>
      <c r="F26" s="13"/>
      <c r="G26" s="13">
        <v>12833</v>
      </c>
      <c r="H26" s="13">
        <v>30888</v>
      </c>
      <c r="I26" s="13">
        <v>4288</v>
      </c>
      <c r="J26" s="13"/>
      <c r="K26" s="4">
        <v>500</v>
      </c>
      <c r="L26" s="35"/>
      <c r="M26" s="35"/>
      <c r="N26" s="13">
        <v>10390</v>
      </c>
      <c r="O26" s="13"/>
      <c r="P26" s="13"/>
      <c r="Q26" s="13">
        <v>500</v>
      </c>
      <c r="R26" s="13"/>
      <c r="S26" s="13"/>
      <c r="T26" s="13"/>
      <c r="U26" s="4">
        <v>9285</v>
      </c>
      <c r="V26" s="4"/>
      <c r="W26" s="4"/>
      <c r="X26" s="4"/>
      <c r="Y26" s="13">
        <f t="shared" si="0"/>
        <v>1000</v>
      </c>
      <c r="Z26" s="46">
        <v>6435</v>
      </c>
    </row>
    <row r="27" spans="1:26" ht="11.25">
      <c r="A27" s="38" t="s">
        <v>99</v>
      </c>
      <c r="B27" s="43">
        <v>29</v>
      </c>
      <c r="C27" s="14">
        <f t="shared" si="1"/>
        <v>188798</v>
      </c>
      <c r="D27" s="32">
        <v>500</v>
      </c>
      <c r="E27" s="25">
        <v>121591</v>
      </c>
      <c r="F27" s="13"/>
      <c r="G27" s="13">
        <v>9566</v>
      </c>
      <c r="H27" s="13">
        <v>22908</v>
      </c>
      <c r="I27" s="13">
        <v>3180</v>
      </c>
      <c r="J27" s="13"/>
      <c r="K27" s="4">
        <f>3000+7000</f>
        <v>10000</v>
      </c>
      <c r="L27" s="35">
        <v>2000</v>
      </c>
      <c r="M27" s="35"/>
      <c r="N27" s="13">
        <v>9200</v>
      </c>
      <c r="O27" s="13"/>
      <c r="P27" s="13"/>
      <c r="Q27" s="13">
        <v>3000</v>
      </c>
      <c r="R27" s="13"/>
      <c r="S27" s="13"/>
      <c r="T27" s="13"/>
      <c r="U27" s="4">
        <v>6853</v>
      </c>
      <c r="V27" s="4"/>
      <c r="W27" s="4"/>
      <c r="X27" s="4"/>
      <c r="Y27" s="13">
        <f t="shared" si="0"/>
        <v>13500</v>
      </c>
      <c r="Z27" s="46">
        <v>9405</v>
      </c>
    </row>
    <row r="28" spans="1:26" ht="11.25">
      <c r="A28" s="38" t="s">
        <v>100</v>
      </c>
      <c r="B28" s="43">
        <v>31</v>
      </c>
      <c r="C28" s="14">
        <f t="shared" si="1"/>
        <v>352372</v>
      </c>
      <c r="D28" s="32">
        <v>270</v>
      </c>
      <c r="E28" s="25">
        <v>214786</v>
      </c>
      <c r="F28" s="13"/>
      <c r="G28" s="13">
        <v>17410</v>
      </c>
      <c r="H28" s="13">
        <v>41068</v>
      </c>
      <c r="I28" s="13">
        <v>5701</v>
      </c>
      <c r="J28" s="13"/>
      <c r="K28" s="4">
        <v>4000</v>
      </c>
      <c r="L28" s="35">
        <v>2000</v>
      </c>
      <c r="M28" s="35"/>
      <c r="N28" s="13">
        <v>51894</v>
      </c>
      <c r="O28" s="13">
        <v>1500</v>
      </c>
      <c r="P28" s="13"/>
      <c r="Q28" s="13">
        <v>1230</v>
      </c>
      <c r="R28" s="13"/>
      <c r="S28" s="13"/>
      <c r="T28" s="13"/>
      <c r="U28" s="4">
        <v>12513</v>
      </c>
      <c r="V28" s="4"/>
      <c r="W28" s="4"/>
      <c r="X28" s="4"/>
      <c r="Y28" s="13">
        <f t="shared" si="0"/>
        <v>7000</v>
      </c>
      <c r="Z28" s="46">
        <v>22770</v>
      </c>
    </row>
    <row r="29" spans="1:26" ht="11.25">
      <c r="A29" s="38" t="s">
        <v>101</v>
      </c>
      <c r="B29" s="43">
        <v>33</v>
      </c>
      <c r="C29" s="14">
        <f t="shared" si="1"/>
        <v>259801</v>
      </c>
      <c r="D29" s="32">
        <v>1000</v>
      </c>
      <c r="E29" s="25">
        <v>176875</v>
      </c>
      <c r="F29" s="13"/>
      <c r="G29" s="13">
        <v>12406</v>
      </c>
      <c r="H29" s="13">
        <v>32802</v>
      </c>
      <c r="I29" s="13">
        <v>4553</v>
      </c>
      <c r="J29" s="13"/>
      <c r="K29" s="4">
        <v>2000</v>
      </c>
      <c r="L29" s="35">
        <v>3500</v>
      </c>
      <c r="M29" s="35">
        <v>1000</v>
      </c>
      <c r="N29" s="13">
        <v>13550</v>
      </c>
      <c r="O29" s="13"/>
      <c r="P29" s="13"/>
      <c r="Q29" s="13"/>
      <c r="R29" s="13"/>
      <c r="S29" s="13"/>
      <c r="T29" s="13"/>
      <c r="U29" s="13">
        <v>12115</v>
      </c>
      <c r="V29" s="13"/>
      <c r="W29" s="13"/>
      <c r="X29" s="13"/>
      <c r="Y29" s="13">
        <f t="shared" si="0"/>
        <v>4000</v>
      </c>
      <c r="Z29" s="46">
        <v>13365</v>
      </c>
    </row>
    <row r="30" spans="1:26" ht="11.25">
      <c r="A30" s="38" t="s">
        <v>102</v>
      </c>
      <c r="B30" s="43">
        <v>34</v>
      </c>
      <c r="C30" s="14">
        <f t="shared" si="1"/>
        <v>210032</v>
      </c>
      <c r="D30" s="32"/>
      <c r="E30" s="25">
        <v>144350</v>
      </c>
      <c r="F30" s="13"/>
      <c r="G30" s="13">
        <v>12380</v>
      </c>
      <c r="H30" s="13">
        <v>27893</v>
      </c>
      <c r="I30" s="13">
        <v>4029</v>
      </c>
      <c r="J30" s="13"/>
      <c r="K30" s="4">
        <v>1100</v>
      </c>
      <c r="L30" s="35">
        <v>2000</v>
      </c>
      <c r="M30" s="35"/>
      <c r="N30" s="13">
        <v>7794</v>
      </c>
      <c r="O30" s="13"/>
      <c r="P30" s="13"/>
      <c r="Q30" s="13">
        <v>450</v>
      </c>
      <c r="R30" s="13"/>
      <c r="S30" s="13"/>
      <c r="T30" s="13">
        <v>950</v>
      </c>
      <c r="U30" s="4">
        <v>9086</v>
      </c>
      <c r="V30" s="4"/>
      <c r="W30" s="4"/>
      <c r="X30" s="4"/>
      <c r="Y30" s="13">
        <f t="shared" si="0"/>
        <v>2500</v>
      </c>
      <c r="Z30" s="46">
        <v>7920</v>
      </c>
    </row>
    <row r="31" spans="1:26" ht="11.25">
      <c r="A31" s="38" t="s">
        <v>103</v>
      </c>
      <c r="B31" s="43">
        <v>35</v>
      </c>
      <c r="C31" s="14">
        <f t="shared" si="1"/>
        <v>218685</v>
      </c>
      <c r="D31" s="32">
        <v>400</v>
      </c>
      <c r="E31" s="25">
        <v>150191</v>
      </c>
      <c r="F31" s="13"/>
      <c r="G31" s="13">
        <v>12200</v>
      </c>
      <c r="H31" s="13">
        <v>28426</v>
      </c>
      <c r="I31" s="13">
        <v>3946</v>
      </c>
      <c r="J31" s="13"/>
      <c r="K31" s="13">
        <v>2040</v>
      </c>
      <c r="L31" s="25">
        <v>5000</v>
      </c>
      <c r="M31" s="25"/>
      <c r="N31" s="13">
        <v>4637</v>
      </c>
      <c r="O31" s="13">
        <v>500</v>
      </c>
      <c r="P31" s="13">
        <v>560</v>
      </c>
      <c r="Q31" s="13">
        <v>1100</v>
      </c>
      <c r="R31" s="13"/>
      <c r="S31" s="13"/>
      <c r="T31" s="13">
        <v>400</v>
      </c>
      <c r="U31" s="4">
        <v>9285</v>
      </c>
      <c r="V31" s="4"/>
      <c r="W31" s="4"/>
      <c r="X31" s="4"/>
      <c r="Y31" s="13">
        <f t="shared" si="0"/>
        <v>5000</v>
      </c>
      <c r="Z31" s="46">
        <v>8910</v>
      </c>
    </row>
    <row r="32" spans="1:26" ht="11.25">
      <c r="A32" s="38" t="s">
        <v>120</v>
      </c>
      <c r="B32" s="43" t="s">
        <v>121</v>
      </c>
      <c r="C32" s="14">
        <f t="shared" si="1"/>
        <v>88321</v>
      </c>
      <c r="D32" s="32"/>
      <c r="E32" s="25">
        <v>63035</v>
      </c>
      <c r="F32" s="13"/>
      <c r="G32" s="13">
        <v>4411</v>
      </c>
      <c r="H32" s="13">
        <v>11810</v>
      </c>
      <c r="I32" s="13">
        <v>1639</v>
      </c>
      <c r="J32" s="13"/>
      <c r="K32" s="4"/>
      <c r="L32" s="35">
        <v>2000</v>
      </c>
      <c r="M32" s="35"/>
      <c r="N32" s="13">
        <v>2842</v>
      </c>
      <c r="O32" s="13"/>
      <c r="P32" s="13"/>
      <c r="Q32" s="13"/>
      <c r="R32" s="13"/>
      <c r="S32" s="13"/>
      <c r="T32" s="13"/>
      <c r="U32" s="4">
        <v>2584</v>
      </c>
      <c r="V32" s="4"/>
      <c r="W32" s="4"/>
      <c r="X32" s="4"/>
      <c r="Y32" s="13">
        <f t="shared" si="0"/>
        <v>0</v>
      </c>
      <c r="Z32" s="46">
        <v>8910</v>
      </c>
    </row>
    <row r="33" spans="1:26" ht="11.25">
      <c r="A33" s="38" t="s">
        <v>72</v>
      </c>
      <c r="B33" s="43">
        <v>37</v>
      </c>
      <c r="C33" s="14">
        <f t="shared" si="1"/>
        <v>0</v>
      </c>
      <c r="D33" s="32"/>
      <c r="E33" s="25"/>
      <c r="F33" s="13"/>
      <c r="G33" s="13"/>
      <c r="H33" s="13"/>
      <c r="I33" s="13"/>
      <c r="J33" s="13"/>
      <c r="K33" s="4"/>
      <c r="L33" s="35"/>
      <c r="M33" s="35"/>
      <c r="N33" s="13"/>
      <c r="O33" s="13"/>
      <c r="P33" s="13"/>
      <c r="Q33" s="13"/>
      <c r="R33" s="13"/>
      <c r="S33" s="13"/>
      <c r="T33" s="13"/>
      <c r="U33" s="4"/>
      <c r="V33" s="4"/>
      <c r="W33" s="4"/>
      <c r="X33" s="4"/>
      <c r="Y33" s="13">
        <f t="shared" si="0"/>
        <v>0</v>
      </c>
      <c r="Z33" s="46">
        <v>3465</v>
      </c>
    </row>
    <row r="34" spans="1:26" ht="11.25">
      <c r="A34" s="38" t="s">
        <v>104</v>
      </c>
      <c r="B34" s="43">
        <v>39</v>
      </c>
      <c r="C34" s="14">
        <f t="shared" si="1"/>
        <v>334026</v>
      </c>
      <c r="D34" s="32">
        <v>1000</v>
      </c>
      <c r="E34" s="25">
        <v>210081</v>
      </c>
      <c r="F34" s="13"/>
      <c r="G34" s="13">
        <v>17750</v>
      </c>
      <c r="H34" s="13">
        <v>39965</v>
      </c>
      <c r="I34" s="13">
        <v>5548</v>
      </c>
      <c r="J34" s="13"/>
      <c r="K34" s="4">
        <v>2800</v>
      </c>
      <c r="L34" s="35"/>
      <c r="M34" s="35"/>
      <c r="N34" s="13">
        <v>39768</v>
      </c>
      <c r="O34" s="13">
        <v>2000</v>
      </c>
      <c r="P34" s="13">
        <v>300</v>
      </c>
      <c r="Q34" s="13">
        <v>1600</v>
      </c>
      <c r="R34" s="13"/>
      <c r="S34" s="13"/>
      <c r="T34" s="13"/>
      <c r="U34" s="13">
        <v>13214</v>
      </c>
      <c r="V34" s="13"/>
      <c r="W34" s="13"/>
      <c r="X34" s="13"/>
      <c r="Y34" s="13">
        <f t="shared" si="0"/>
        <v>7700</v>
      </c>
      <c r="Z34" s="46">
        <v>14355</v>
      </c>
    </row>
    <row r="35" spans="1:26" ht="11.25">
      <c r="A35" s="38" t="s">
        <v>105</v>
      </c>
      <c r="B35" s="43">
        <v>40</v>
      </c>
      <c r="C35" s="14">
        <f t="shared" si="1"/>
        <v>295430</v>
      </c>
      <c r="D35" s="32">
        <v>410</v>
      </c>
      <c r="E35" s="25">
        <v>184376</v>
      </c>
      <c r="F35" s="13"/>
      <c r="G35" s="13">
        <v>16348</v>
      </c>
      <c r="H35" s="13">
        <v>35680</v>
      </c>
      <c r="I35" s="13">
        <v>4953</v>
      </c>
      <c r="J35" s="13"/>
      <c r="K35" s="13">
        <v>4328</v>
      </c>
      <c r="L35" s="25">
        <f>3000+3000</f>
        <v>6000</v>
      </c>
      <c r="M35" s="25"/>
      <c r="N35" s="13">
        <v>26158</v>
      </c>
      <c r="O35" s="13">
        <v>1640</v>
      </c>
      <c r="P35" s="13">
        <v>240</v>
      </c>
      <c r="Q35" s="13">
        <v>2232</v>
      </c>
      <c r="R35" s="13"/>
      <c r="S35" s="13"/>
      <c r="T35" s="13">
        <v>800</v>
      </c>
      <c r="U35" s="13">
        <v>12115</v>
      </c>
      <c r="V35" s="13">
        <v>150</v>
      </c>
      <c r="W35" s="13"/>
      <c r="X35" s="13"/>
      <c r="Y35" s="13">
        <f t="shared" si="0"/>
        <v>9800</v>
      </c>
      <c r="Z35" s="46">
        <v>17820</v>
      </c>
    </row>
    <row r="36" spans="1:26" ht="11.25">
      <c r="A36" s="38" t="s">
        <v>122</v>
      </c>
      <c r="B36" s="43" t="s">
        <v>73</v>
      </c>
      <c r="C36" s="14">
        <f t="shared" si="1"/>
        <v>88700</v>
      </c>
      <c r="D36" s="32"/>
      <c r="E36" s="25">
        <v>64191</v>
      </c>
      <c r="F36" s="13"/>
      <c r="G36" s="13">
        <v>5406</v>
      </c>
      <c r="H36" s="13">
        <v>12041</v>
      </c>
      <c r="I36" s="13">
        <v>1672</v>
      </c>
      <c r="J36" s="13"/>
      <c r="K36" s="4"/>
      <c r="L36" s="35">
        <v>1000</v>
      </c>
      <c r="M36" s="35"/>
      <c r="N36" s="13">
        <v>1806</v>
      </c>
      <c r="O36" s="13"/>
      <c r="P36" s="13"/>
      <c r="Q36" s="13"/>
      <c r="R36" s="13"/>
      <c r="S36" s="13"/>
      <c r="T36" s="13"/>
      <c r="U36" s="4">
        <v>2584</v>
      </c>
      <c r="V36" s="4"/>
      <c r="W36" s="4"/>
      <c r="X36" s="4"/>
      <c r="Y36" s="13">
        <f t="shared" si="0"/>
        <v>0</v>
      </c>
      <c r="Z36" s="46">
        <v>7425</v>
      </c>
    </row>
    <row r="37" spans="1:26" ht="11.25">
      <c r="A37" s="40" t="s">
        <v>106</v>
      </c>
      <c r="B37" s="43">
        <v>42</v>
      </c>
      <c r="C37" s="14">
        <f t="shared" si="1"/>
        <v>208718</v>
      </c>
      <c r="D37" s="32"/>
      <c r="E37" s="25">
        <v>150991</v>
      </c>
      <c r="F37" s="13"/>
      <c r="G37" s="13">
        <v>12778</v>
      </c>
      <c r="H37" s="13">
        <v>28941</v>
      </c>
      <c r="I37" s="13">
        <v>4017</v>
      </c>
      <c r="J37" s="13"/>
      <c r="K37" s="4"/>
      <c r="L37" s="35"/>
      <c r="M37" s="35"/>
      <c r="N37" s="13">
        <v>2706</v>
      </c>
      <c r="O37" s="13"/>
      <c r="P37" s="13"/>
      <c r="Q37" s="13"/>
      <c r="R37" s="13"/>
      <c r="S37" s="13"/>
      <c r="T37" s="13"/>
      <c r="U37" s="13">
        <v>9285</v>
      </c>
      <c r="V37" s="13"/>
      <c r="W37" s="13"/>
      <c r="X37" s="13"/>
      <c r="Y37" s="13">
        <f t="shared" si="0"/>
        <v>0</v>
      </c>
      <c r="Z37" s="46">
        <v>16830</v>
      </c>
    </row>
    <row r="38" spans="1:26" ht="11.25">
      <c r="A38" s="40" t="s">
        <v>107</v>
      </c>
      <c r="B38" s="43">
        <v>43</v>
      </c>
      <c r="C38" s="14">
        <f t="shared" si="1"/>
        <v>303540</v>
      </c>
      <c r="D38" s="32">
        <v>1000</v>
      </c>
      <c r="E38" s="25">
        <v>200009</v>
      </c>
      <c r="F38" s="13"/>
      <c r="G38" s="13">
        <v>16987</v>
      </c>
      <c r="H38" s="13">
        <v>37163</v>
      </c>
      <c r="I38" s="13">
        <v>5159</v>
      </c>
      <c r="J38" s="13"/>
      <c r="K38" s="13">
        <f>4500-1208</f>
        <v>3292</v>
      </c>
      <c r="L38" s="25">
        <v>3000</v>
      </c>
      <c r="M38" s="25"/>
      <c r="N38" s="13">
        <v>21315</v>
      </c>
      <c r="O38" s="13">
        <f>2500-1000</f>
        <v>1500</v>
      </c>
      <c r="P38" s="13"/>
      <c r="Q38" s="13">
        <v>2000</v>
      </c>
      <c r="R38" s="13"/>
      <c r="S38" s="13"/>
      <c r="T38" s="13"/>
      <c r="U38" s="13">
        <v>12115</v>
      </c>
      <c r="V38" s="13"/>
      <c r="W38" s="13"/>
      <c r="X38" s="13"/>
      <c r="Y38" s="13">
        <f t="shared" si="0"/>
        <v>7792</v>
      </c>
      <c r="Z38" s="46">
        <v>18810</v>
      </c>
    </row>
    <row r="39" spans="1:26" ht="11.25">
      <c r="A39" s="40" t="s">
        <v>108</v>
      </c>
      <c r="B39" s="43">
        <v>44</v>
      </c>
      <c r="C39" s="14">
        <f t="shared" si="1"/>
        <v>227194</v>
      </c>
      <c r="D39" s="32"/>
      <c r="E39" s="25">
        <v>157643</v>
      </c>
      <c r="F39" s="13"/>
      <c r="G39" s="13">
        <v>13258</v>
      </c>
      <c r="H39" s="13">
        <v>30650</v>
      </c>
      <c r="I39" s="13">
        <v>4255</v>
      </c>
      <c r="J39" s="13"/>
      <c r="K39" s="4">
        <v>2630</v>
      </c>
      <c r="L39" s="35"/>
      <c r="M39" s="35"/>
      <c r="N39" s="13">
        <v>7253</v>
      </c>
      <c r="O39" s="13">
        <v>1650</v>
      </c>
      <c r="P39" s="13"/>
      <c r="Q39" s="13">
        <v>570</v>
      </c>
      <c r="R39" s="13"/>
      <c r="S39" s="13"/>
      <c r="T39" s="13"/>
      <c r="U39" s="4">
        <v>9285</v>
      </c>
      <c r="V39" s="4"/>
      <c r="W39" s="4"/>
      <c r="X39" s="4"/>
      <c r="Y39" s="13">
        <f t="shared" si="0"/>
        <v>4850</v>
      </c>
      <c r="Z39" s="46">
        <v>13585</v>
      </c>
    </row>
    <row r="40" spans="1:26" ht="11.25">
      <c r="A40" s="40" t="s">
        <v>109</v>
      </c>
      <c r="B40" s="43">
        <v>45</v>
      </c>
      <c r="C40" s="14">
        <f t="shared" si="1"/>
        <v>314278</v>
      </c>
      <c r="D40" s="32"/>
      <c r="E40" s="25">
        <v>220092</v>
      </c>
      <c r="F40" s="13"/>
      <c r="G40" s="13">
        <v>17200</v>
      </c>
      <c r="H40" s="13">
        <v>41644</v>
      </c>
      <c r="I40" s="13">
        <v>5732</v>
      </c>
      <c r="J40" s="13"/>
      <c r="K40" s="4">
        <v>2734</v>
      </c>
      <c r="L40" s="35"/>
      <c r="M40" s="35"/>
      <c r="N40" s="13">
        <v>7794</v>
      </c>
      <c r="O40" s="13">
        <v>2000</v>
      </c>
      <c r="P40" s="13"/>
      <c r="Q40" s="13">
        <v>2089</v>
      </c>
      <c r="R40" s="13"/>
      <c r="S40" s="13"/>
      <c r="T40" s="13"/>
      <c r="U40" s="4">
        <v>14993</v>
      </c>
      <c r="V40" s="4"/>
      <c r="W40" s="4"/>
      <c r="X40" s="4"/>
      <c r="Y40" s="13">
        <f t="shared" si="0"/>
        <v>6823</v>
      </c>
      <c r="Z40" s="46">
        <v>6435</v>
      </c>
    </row>
    <row r="41" spans="1:26" ht="11.25">
      <c r="A41" s="40" t="s">
        <v>110</v>
      </c>
      <c r="B41" s="43">
        <v>46</v>
      </c>
      <c r="C41" s="14">
        <f t="shared" si="1"/>
        <v>339858</v>
      </c>
      <c r="D41" s="32">
        <v>1000</v>
      </c>
      <c r="E41" s="25">
        <v>220467</v>
      </c>
      <c r="F41" s="13"/>
      <c r="G41" s="13">
        <v>16800</v>
      </c>
      <c r="H41" s="13">
        <v>42029</v>
      </c>
      <c r="I41" s="13">
        <v>5834</v>
      </c>
      <c r="J41" s="13"/>
      <c r="K41" s="4">
        <v>1500</v>
      </c>
      <c r="L41" s="35"/>
      <c r="M41" s="35"/>
      <c r="N41" s="13">
        <v>33900</v>
      </c>
      <c r="O41" s="13">
        <v>2400</v>
      </c>
      <c r="P41" s="13"/>
      <c r="Q41" s="13">
        <v>2000</v>
      </c>
      <c r="R41" s="13"/>
      <c r="S41" s="13"/>
      <c r="T41" s="13"/>
      <c r="U41" s="13">
        <v>13928</v>
      </c>
      <c r="V41" s="13"/>
      <c r="W41" s="13"/>
      <c r="X41" s="13"/>
      <c r="Y41" s="13">
        <f t="shared" si="0"/>
        <v>6900</v>
      </c>
      <c r="Z41" s="46">
        <v>18315</v>
      </c>
    </row>
    <row r="42" spans="1:26" ht="11.25">
      <c r="A42" s="40" t="s">
        <v>111</v>
      </c>
      <c r="B42" s="43">
        <v>47</v>
      </c>
      <c r="C42" s="14">
        <f t="shared" si="1"/>
        <v>486952</v>
      </c>
      <c r="D42" s="32">
        <v>200</v>
      </c>
      <c r="E42" s="25">
        <v>326121</v>
      </c>
      <c r="F42" s="13"/>
      <c r="G42" s="13">
        <v>27405</v>
      </c>
      <c r="H42" s="13">
        <v>61727</v>
      </c>
      <c r="I42" s="13">
        <v>8569</v>
      </c>
      <c r="J42" s="13"/>
      <c r="K42" s="4">
        <v>4201</v>
      </c>
      <c r="L42" s="35"/>
      <c r="M42" s="35"/>
      <c r="N42" s="13">
        <v>34123</v>
      </c>
      <c r="O42" s="13">
        <v>2000</v>
      </c>
      <c r="P42" s="13">
        <v>400</v>
      </c>
      <c r="Q42" s="13">
        <v>2500</v>
      </c>
      <c r="R42" s="13">
        <v>99</v>
      </c>
      <c r="S42" s="13">
        <v>178</v>
      </c>
      <c r="T42" s="13">
        <v>1654</v>
      </c>
      <c r="U42" s="13">
        <v>17775</v>
      </c>
      <c r="V42" s="13"/>
      <c r="W42" s="13"/>
      <c r="X42" s="13"/>
      <c r="Y42" s="13">
        <f t="shared" si="0"/>
        <v>11232</v>
      </c>
      <c r="Z42" s="46">
        <v>22770</v>
      </c>
    </row>
    <row r="43" spans="1:26" ht="11.25">
      <c r="A43" s="40" t="s">
        <v>112</v>
      </c>
      <c r="B43" s="43">
        <v>48</v>
      </c>
      <c r="C43" s="14">
        <f>SUM(D43:X43)</f>
        <v>194006</v>
      </c>
      <c r="D43" s="32"/>
      <c r="E43" s="25">
        <v>141685</v>
      </c>
      <c r="F43" s="13"/>
      <c r="G43" s="13">
        <v>11634</v>
      </c>
      <c r="H43" s="13">
        <v>26594</v>
      </c>
      <c r="I43" s="13">
        <v>3692</v>
      </c>
      <c r="J43" s="13"/>
      <c r="K43" s="4"/>
      <c r="L43" s="35"/>
      <c r="M43" s="35"/>
      <c r="N43" s="13">
        <v>1735</v>
      </c>
      <c r="O43" s="13"/>
      <c r="P43" s="13"/>
      <c r="Q43" s="13"/>
      <c r="R43" s="13"/>
      <c r="S43" s="13"/>
      <c r="T43" s="13"/>
      <c r="U43" s="4">
        <v>8666</v>
      </c>
      <c r="V43" s="4"/>
      <c r="W43" s="4"/>
      <c r="X43" s="4"/>
      <c r="Y43" s="13">
        <f>D43+K43+O43+Q43+P43+J43+M43+T43+V43+W43+R43+S43</f>
        <v>0</v>
      </c>
      <c r="Z43" s="46">
        <v>11880</v>
      </c>
    </row>
    <row r="44" spans="1:26" ht="11.25">
      <c r="A44" s="40" t="s">
        <v>134</v>
      </c>
      <c r="B44" s="43"/>
      <c r="C44" s="14">
        <f>SUM(D44:X44)</f>
        <v>231693</v>
      </c>
      <c r="D44" s="32"/>
      <c r="E44" s="25">
        <v>176411</v>
      </c>
      <c r="F44" s="13"/>
      <c r="G44" s="13">
        <v>12750</v>
      </c>
      <c r="H44" s="13">
        <v>32573</v>
      </c>
      <c r="I44" s="13">
        <v>4521</v>
      </c>
      <c r="J44" s="13"/>
      <c r="K44" s="4"/>
      <c r="L44" s="35"/>
      <c r="M44" s="35"/>
      <c r="N44" s="13"/>
      <c r="O44" s="13"/>
      <c r="P44" s="13"/>
      <c r="Q44" s="13"/>
      <c r="R44" s="13"/>
      <c r="S44" s="13"/>
      <c r="T44" s="13"/>
      <c r="U44" s="4">
        <v>5438</v>
      </c>
      <c r="V44" s="4"/>
      <c r="W44" s="4"/>
      <c r="X44" s="4"/>
      <c r="Y44" s="13">
        <f t="shared" si="0"/>
        <v>0</v>
      </c>
      <c r="Z44" s="46">
        <v>11880</v>
      </c>
    </row>
    <row r="45" spans="1:26" ht="12.75">
      <c r="A45" s="18" t="s">
        <v>21</v>
      </c>
      <c r="B45" s="16"/>
      <c r="C45" s="14">
        <f>SUM(C5:C44)</f>
        <v>8233655</v>
      </c>
      <c r="D45" s="14">
        <f>SUM(D5:D44)</f>
        <v>9280</v>
      </c>
      <c r="E45" s="26">
        <f>SUM(E5:E44)</f>
        <v>5551734</v>
      </c>
      <c r="F45" s="13"/>
      <c r="G45" s="14">
        <f aca="true" t="shared" si="2" ref="G45:Z45">SUM(G5:G44)</f>
        <v>448227</v>
      </c>
      <c r="H45" s="14">
        <f t="shared" si="2"/>
        <v>1057823</v>
      </c>
      <c r="I45" s="14">
        <f t="shared" si="2"/>
        <v>146950</v>
      </c>
      <c r="J45" s="14">
        <f t="shared" si="2"/>
        <v>1800</v>
      </c>
      <c r="K45" s="14">
        <f t="shared" si="2"/>
        <v>74025</v>
      </c>
      <c r="L45" s="26">
        <f t="shared" si="2"/>
        <v>43200</v>
      </c>
      <c r="M45" s="26">
        <f t="shared" si="2"/>
        <v>1800</v>
      </c>
      <c r="N45" s="14">
        <f t="shared" si="2"/>
        <v>475267</v>
      </c>
      <c r="O45" s="14">
        <f t="shared" si="2"/>
        <v>21190</v>
      </c>
      <c r="P45" s="14">
        <f t="shared" si="2"/>
        <v>2900</v>
      </c>
      <c r="Q45" s="14">
        <f t="shared" si="2"/>
        <v>39371</v>
      </c>
      <c r="R45" s="14">
        <f>SUM(R5:R44)</f>
        <v>99</v>
      </c>
      <c r="S45" s="14">
        <f>SUM(S5:S44)</f>
        <v>178</v>
      </c>
      <c r="T45" s="14">
        <f t="shared" si="2"/>
        <v>5484</v>
      </c>
      <c r="U45" s="14">
        <f t="shared" si="2"/>
        <v>328477</v>
      </c>
      <c r="V45" s="14">
        <f>SUM(V5:V44)</f>
        <v>750</v>
      </c>
      <c r="W45" s="14">
        <f>SUM(W5:W44)</f>
        <v>100</v>
      </c>
      <c r="X45" s="14">
        <f>SUM(X5:X44)</f>
        <v>25000</v>
      </c>
      <c r="Y45" s="14">
        <f t="shared" si="2"/>
        <v>156977</v>
      </c>
      <c r="Z45" s="26">
        <f t="shared" si="2"/>
        <v>446215</v>
      </c>
    </row>
    <row r="46" spans="1:4" ht="11.25">
      <c r="A46" s="50" t="s">
        <v>132</v>
      </c>
      <c r="B46" s="51"/>
      <c r="C46" s="47">
        <v>50000</v>
      </c>
      <c r="D46" s="8"/>
    </row>
    <row r="47" spans="1:3" ht="11.25">
      <c r="A47" s="50" t="s">
        <v>133</v>
      </c>
      <c r="B47" s="51"/>
      <c r="C47" s="47">
        <v>4000</v>
      </c>
    </row>
    <row r="48" spans="1:3" ht="11.25">
      <c r="A48" s="50" t="s">
        <v>23</v>
      </c>
      <c r="B48" s="51"/>
      <c r="C48" s="47">
        <f>SUM(C45:C47)</f>
        <v>8287655</v>
      </c>
    </row>
    <row r="56" spans="1:13" ht="12.75">
      <c r="A56" s="27"/>
      <c r="B56" s="28"/>
      <c r="C56" s="7"/>
      <c r="D56" s="7"/>
      <c r="E56" s="20"/>
      <c r="F56" s="7"/>
      <c r="G56" s="7"/>
      <c r="H56" s="7"/>
      <c r="I56" s="7"/>
      <c r="J56" s="7"/>
      <c r="K56" s="7"/>
      <c r="L56" s="20"/>
      <c r="M56" s="7"/>
    </row>
    <row r="57" spans="1:13" ht="11.25">
      <c r="A57" s="7"/>
      <c r="B57" s="28"/>
      <c r="C57" s="7"/>
      <c r="D57" s="7"/>
      <c r="E57" s="20"/>
      <c r="F57" s="7"/>
      <c r="G57" s="7"/>
      <c r="H57" s="7"/>
      <c r="I57" s="7"/>
      <c r="J57" s="7"/>
      <c r="K57" s="7"/>
      <c r="L57" s="20"/>
      <c r="M57" s="7"/>
    </row>
    <row r="58" spans="1:13" ht="11.25">
      <c r="A58" s="21"/>
      <c r="B58" s="21"/>
      <c r="C58" s="29"/>
      <c r="D58" s="29"/>
      <c r="E58" s="52"/>
      <c r="F58" s="21"/>
      <c r="G58" s="21"/>
      <c r="H58" s="22"/>
      <c r="I58" s="29"/>
      <c r="J58" s="29"/>
      <c r="K58" s="21"/>
      <c r="L58" s="52"/>
      <c r="M58" s="21"/>
    </row>
    <row r="59" spans="1:13" ht="11.25">
      <c r="A59" s="28"/>
      <c r="B59" s="28"/>
      <c r="C59" s="6"/>
      <c r="D59" s="6"/>
      <c r="E59" s="53"/>
      <c r="F59" s="6"/>
      <c r="G59" s="6"/>
      <c r="H59" s="6"/>
      <c r="I59" s="6"/>
      <c r="J59" s="6"/>
      <c r="K59" s="7"/>
      <c r="L59" s="20"/>
      <c r="M59" s="7"/>
    </row>
    <row r="60" spans="1:13" ht="11.25">
      <c r="A60" s="28"/>
      <c r="B60" s="28"/>
      <c r="C60" s="6"/>
      <c r="D60" s="6"/>
      <c r="E60" s="53"/>
      <c r="F60" s="6"/>
      <c r="G60" s="6"/>
      <c r="H60" s="6"/>
      <c r="I60" s="6"/>
      <c r="J60" s="6"/>
      <c r="K60" s="7"/>
      <c r="L60" s="20"/>
      <c r="M60" s="7"/>
    </row>
    <row r="61" spans="1:13" ht="11.25">
      <c r="A61" s="28"/>
      <c r="B61" s="28"/>
      <c r="C61" s="6"/>
      <c r="D61" s="6"/>
      <c r="E61" s="53"/>
      <c r="F61" s="6"/>
      <c r="G61" s="6"/>
      <c r="H61" s="6"/>
      <c r="I61" s="6"/>
      <c r="J61" s="6"/>
      <c r="K61" s="7"/>
      <c r="L61" s="20"/>
      <c r="M61" s="7"/>
    </row>
    <row r="62" spans="1:13" ht="11.25">
      <c r="A62" s="7"/>
      <c r="B62" s="28"/>
      <c r="C62" s="6"/>
      <c r="D62" s="6"/>
      <c r="E62" s="53"/>
      <c r="F62" s="6"/>
      <c r="G62" s="6"/>
      <c r="H62" s="6"/>
      <c r="I62" s="6"/>
      <c r="J62" s="6"/>
      <c r="K62" s="6"/>
      <c r="L62" s="53"/>
      <c r="M62" s="6"/>
    </row>
    <row r="63" spans="1:13" ht="11.25">
      <c r="A63" s="30"/>
      <c r="B63" s="28"/>
      <c r="C63" s="6"/>
      <c r="D63" s="6"/>
      <c r="E63" s="53"/>
      <c r="F63" s="6"/>
      <c r="G63" s="6"/>
      <c r="H63" s="6"/>
      <c r="I63" s="6"/>
      <c r="J63" s="6"/>
      <c r="K63" s="7"/>
      <c r="L63" s="20"/>
      <c r="M63" s="7"/>
    </row>
    <row r="64" spans="1:13" ht="11.25">
      <c r="A64" s="30"/>
      <c r="B64" s="28"/>
      <c r="C64" s="6"/>
      <c r="D64" s="6"/>
      <c r="E64" s="53"/>
      <c r="F64" s="6"/>
      <c r="G64" s="6"/>
      <c r="H64" s="6"/>
      <c r="I64" s="6"/>
      <c r="J64" s="6"/>
      <c r="K64" s="7"/>
      <c r="L64" s="20"/>
      <c r="M64" s="7"/>
    </row>
    <row r="65" spans="1:13" ht="11.25">
      <c r="A65" s="30"/>
      <c r="B65" s="28"/>
      <c r="C65" s="6"/>
      <c r="D65" s="6"/>
      <c r="E65" s="53"/>
      <c r="F65" s="6"/>
      <c r="G65" s="6"/>
      <c r="H65" s="6"/>
      <c r="I65" s="6"/>
      <c r="J65" s="6"/>
      <c r="K65" s="7"/>
      <c r="L65" s="20"/>
      <c r="M65" s="7"/>
    </row>
    <row r="66" spans="1:13" ht="11.25">
      <c r="A66" s="30"/>
      <c r="B66" s="28"/>
      <c r="C66" s="6"/>
      <c r="D66" s="6"/>
      <c r="E66" s="53"/>
      <c r="F66" s="6"/>
      <c r="G66" s="6"/>
      <c r="H66" s="6"/>
      <c r="I66" s="6"/>
      <c r="J66" s="6"/>
      <c r="K66" s="7"/>
      <c r="L66" s="20"/>
      <c r="M66" s="7"/>
    </row>
    <row r="67" spans="1:13" ht="11.25">
      <c r="A67" s="30"/>
      <c r="B67" s="28"/>
      <c r="C67" s="6"/>
      <c r="D67" s="6"/>
      <c r="E67" s="53"/>
      <c r="F67" s="6"/>
      <c r="G67" s="6"/>
      <c r="H67" s="6"/>
      <c r="I67" s="6"/>
      <c r="J67" s="6"/>
      <c r="K67" s="7"/>
      <c r="L67" s="20"/>
      <c r="M67" s="7"/>
    </row>
    <row r="68" spans="1:13" ht="11.25">
      <c r="A68" s="30"/>
      <c r="B68" s="28"/>
      <c r="C68" s="6"/>
      <c r="D68" s="6"/>
      <c r="E68" s="53"/>
      <c r="F68" s="6"/>
      <c r="G68" s="6"/>
      <c r="H68" s="6"/>
      <c r="I68" s="6"/>
      <c r="J68" s="6"/>
      <c r="K68" s="7"/>
      <c r="L68" s="20"/>
      <c r="M68" s="7"/>
    </row>
    <row r="69" spans="1:13" ht="11.25">
      <c r="A69" s="30"/>
      <c r="B69" s="28"/>
      <c r="C69" s="6"/>
      <c r="D69" s="6"/>
      <c r="E69" s="53"/>
      <c r="F69" s="6"/>
      <c r="G69" s="6"/>
      <c r="H69" s="6"/>
      <c r="I69" s="6"/>
      <c r="J69" s="6"/>
      <c r="K69" s="7"/>
      <c r="L69" s="20"/>
      <c r="M69" s="7"/>
    </row>
    <row r="70" spans="1:13" ht="11.25">
      <c r="A70" s="30"/>
      <c r="B70" s="28"/>
      <c r="C70" s="6"/>
      <c r="D70" s="6"/>
      <c r="E70" s="53"/>
      <c r="F70" s="6"/>
      <c r="G70" s="6"/>
      <c r="H70" s="6"/>
      <c r="I70" s="6"/>
      <c r="J70" s="6"/>
      <c r="K70" s="7"/>
      <c r="L70" s="20"/>
      <c r="M70" s="7"/>
    </row>
    <row r="71" spans="1:13" ht="11.25">
      <c r="A71" s="30"/>
      <c r="B71" s="28"/>
      <c r="C71" s="6"/>
      <c r="D71" s="6"/>
      <c r="E71" s="53"/>
      <c r="F71" s="6"/>
      <c r="G71" s="6"/>
      <c r="H71" s="6"/>
      <c r="I71" s="6"/>
      <c r="J71" s="6"/>
      <c r="K71" s="7"/>
      <c r="L71" s="20"/>
      <c r="M71" s="7"/>
    </row>
    <row r="72" spans="1:13" ht="11.25">
      <c r="A72" s="30"/>
      <c r="B72" s="28"/>
      <c r="C72" s="6"/>
      <c r="D72" s="6"/>
      <c r="E72" s="53"/>
      <c r="F72" s="6"/>
      <c r="G72" s="6"/>
      <c r="H72" s="6"/>
      <c r="I72" s="6"/>
      <c r="J72" s="6"/>
      <c r="K72" s="7"/>
      <c r="L72" s="20"/>
      <c r="M72" s="7"/>
    </row>
    <row r="73" spans="1:13" ht="11.25">
      <c r="A73" s="30"/>
      <c r="B73" s="28"/>
      <c r="C73" s="6"/>
      <c r="D73" s="6"/>
      <c r="E73" s="53"/>
      <c r="F73" s="6"/>
      <c r="G73" s="6"/>
      <c r="H73" s="6"/>
      <c r="I73" s="6"/>
      <c r="J73" s="6"/>
      <c r="K73" s="7"/>
      <c r="L73" s="20"/>
      <c r="M73" s="7"/>
    </row>
    <row r="74" spans="1:13" ht="11.25">
      <c r="A74" s="30"/>
      <c r="B74" s="28"/>
      <c r="C74" s="6"/>
      <c r="D74" s="6"/>
      <c r="E74" s="53"/>
      <c r="F74" s="6"/>
      <c r="G74" s="6"/>
      <c r="H74" s="6"/>
      <c r="I74" s="6"/>
      <c r="J74" s="6"/>
      <c r="K74" s="7"/>
      <c r="L74" s="20"/>
      <c r="M74" s="7"/>
    </row>
    <row r="75" spans="1:13" ht="11.25">
      <c r="A75" s="30"/>
      <c r="B75" s="28"/>
      <c r="C75" s="6"/>
      <c r="D75" s="6"/>
      <c r="E75" s="53"/>
      <c r="F75" s="6"/>
      <c r="G75" s="6"/>
      <c r="H75" s="6"/>
      <c r="I75" s="6"/>
      <c r="J75" s="6"/>
      <c r="K75" s="7"/>
      <c r="L75" s="20"/>
      <c r="M75" s="7"/>
    </row>
    <row r="76" spans="1:13" ht="11.25">
      <c r="A76" s="30"/>
      <c r="B76" s="28"/>
      <c r="C76" s="6"/>
      <c r="D76" s="6"/>
      <c r="E76" s="53"/>
      <c r="F76" s="6"/>
      <c r="G76" s="6"/>
      <c r="H76" s="6"/>
      <c r="I76" s="6"/>
      <c r="J76" s="6"/>
      <c r="K76" s="6"/>
      <c r="L76" s="53"/>
      <c r="M76" s="6"/>
    </row>
    <row r="77" spans="1:13" ht="11.25">
      <c r="A77" s="30"/>
      <c r="B77" s="28"/>
      <c r="C77" s="6"/>
      <c r="D77" s="6"/>
      <c r="E77" s="53"/>
      <c r="F77" s="6"/>
      <c r="G77" s="6"/>
      <c r="H77" s="6"/>
      <c r="I77" s="6"/>
      <c r="J77" s="6"/>
      <c r="K77" s="6"/>
      <c r="L77" s="53"/>
      <c r="M77" s="6"/>
    </row>
    <row r="78" spans="1:13" ht="11.25">
      <c r="A78" s="30"/>
      <c r="B78" s="28"/>
      <c r="C78" s="6"/>
      <c r="D78" s="6"/>
      <c r="E78" s="53"/>
      <c r="F78" s="6"/>
      <c r="G78" s="6"/>
      <c r="H78" s="6"/>
      <c r="I78" s="6"/>
      <c r="J78" s="6"/>
      <c r="K78" s="7"/>
      <c r="L78" s="20"/>
      <c r="M78" s="7"/>
    </row>
    <row r="79" spans="1:13" ht="11.25">
      <c r="A79" s="30"/>
      <c r="B79" s="28"/>
      <c r="C79" s="6"/>
      <c r="D79" s="6"/>
      <c r="E79" s="53"/>
      <c r="F79" s="6"/>
      <c r="G79" s="6"/>
      <c r="H79" s="6"/>
      <c r="I79" s="6"/>
      <c r="J79" s="6"/>
      <c r="K79" s="7"/>
      <c r="L79" s="20"/>
      <c r="M79" s="7"/>
    </row>
    <row r="80" spans="1:13" ht="11.25">
      <c r="A80" s="30"/>
      <c r="B80" s="28"/>
      <c r="C80" s="6"/>
      <c r="D80" s="6"/>
      <c r="E80" s="53"/>
      <c r="F80" s="6"/>
      <c r="G80" s="6"/>
      <c r="H80" s="6"/>
      <c r="I80" s="6"/>
      <c r="J80" s="6"/>
      <c r="K80" s="7"/>
      <c r="L80" s="20"/>
      <c r="M80" s="7"/>
    </row>
    <row r="81" spans="1:13" ht="11.25">
      <c r="A81" s="30"/>
      <c r="B81" s="28"/>
      <c r="C81" s="6"/>
      <c r="D81" s="6"/>
      <c r="E81" s="53"/>
      <c r="F81" s="6"/>
      <c r="G81" s="6"/>
      <c r="H81" s="6"/>
      <c r="I81" s="6"/>
      <c r="J81" s="6"/>
      <c r="K81" s="7"/>
      <c r="L81" s="20"/>
      <c r="M81" s="7"/>
    </row>
    <row r="82" spans="1:13" ht="11.25">
      <c r="A82" s="30"/>
      <c r="B82" s="28"/>
      <c r="C82" s="6"/>
      <c r="D82" s="6"/>
      <c r="E82" s="53"/>
      <c r="F82" s="6"/>
      <c r="G82" s="6"/>
      <c r="H82" s="6"/>
      <c r="I82" s="6"/>
      <c r="J82" s="6"/>
      <c r="K82" s="7"/>
      <c r="L82" s="20"/>
      <c r="M82" s="7"/>
    </row>
    <row r="83" spans="1:13" ht="11.25">
      <c r="A83" s="30"/>
      <c r="B83" s="28"/>
      <c r="C83" s="6"/>
      <c r="D83" s="6"/>
      <c r="E83" s="53"/>
      <c r="F83" s="6"/>
      <c r="G83" s="6"/>
      <c r="H83" s="6"/>
      <c r="I83" s="6"/>
      <c r="J83" s="6"/>
      <c r="K83" s="6"/>
      <c r="L83" s="53"/>
      <c r="M83" s="6"/>
    </row>
    <row r="84" spans="1:13" ht="11.25">
      <c r="A84" s="30"/>
      <c r="B84" s="28"/>
      <c r="C84" s="6"/>
      <c r="D84" s="6"/>
      <c r="E84" s="53"/>
      <c r="F84" s="6"/>
      <c r="G84" s="6"/>
      <c r="H84" s="6"/>
      <c r="I84" s="6"/>
      <c r="J84" s="6"/>
      <c r="K84" s="7"/>
      <c r="L84" s="20"/>
      <c r="M84" s="7"/>
    </row>
    <row r="85" spans="1:13" ht="11.25">
      <c r="A85" s="30"/>
      <c r="B85" s="28"/>
      <c r="C85" s="6"/>
      <c r="D85" s="6"/>
      <c r="E85" s="53"/>
      <c r="F85" s="6"/>
      <c r="G85" s="6"/>
      <c r="H85" s="6"/>
      <c r="I85" s="6"/>
      <c r="J85" s="6"/>
      <c r="K85" s="7"/>
      <c r="L85" s="20"/>
      <c r="M85" s="7"/>
    </row>
    <row r="86" spans="1:13" ht="11.25">
      <c r="A86" s="30"/>
      <c r="B86" s="28"/>
      <c r="C86" s="6"/>
      <c r="D86" s="6"/>
      <c r="E86" s="53"/>
      <c r="F86" s="6"/>
      <c r="G86" s="6"/>
      <c r="H86" s="6"/>
      <c r="I86" s="6"/>
      <c r="J86" s="6"/>
      <c r="K86" s="7"/>
      <c r="L86" s="20"/>
      <c r="M86" s="7"/>
    </row>
    <row r="87" spans="1:13" ht="11.25">
      <c r="A87" s="30"/>
      <c r="B87" s="28"/>
      <c r="C87" s="6"/>
      <c r="D87" s="6"/>
      <c r="E87" s="53"/>
      <c r="F87" s="6"/>
      <c r="G87" s="6"/>
      <c r="H87" s="6"/>
      <c r="I87" s="6"/>
      <c r="J87" s="6"/>
      <c r="K87" s="6"/>
      <c r="L87" s="53"/>
      <c r="M87" s="6"/>
    </row>
    <row r="88" spans="1:13" ht="11.25">
      <c r="A88" s="30"/>
      <c r="B88" s="28"/>
      <c r="C88" s="6"/>
      <c r="D88" s="6"/>
      <c r="E88" s="53"/>
      <c r="F88" s="6"/>
      <c r="G88" s="6"/>
      <c r="H88" s="6"/>
      <c r="I88" s="6"/>
      <c r="J88" s="6"/>
      <c r="K88" s="6"/>
      <c r="L88" s="53"/>
      <c r="M88" s="6"/>
    </row>
    <row r="89" spans="1:13" ht="11.25">
      <c r="A89" s="30"/>
      <c r="B89" s="28"/>
      <c r="C89" s="6"/>
      <c r="D89" s="6"/>
      <c r="E89" s="53"/>
      <c r="F89" s="6"/>
      <c r="G89" s="6"/>
      <c r="H89" s="6"/>
      <c r="I89" s="6"/>
      <c r="J89" s="6"/>
      <c r="K89" s="7"/>
      <c r="L89" s="20"/>
      <c r="M89" s="7"/>
    </row>
    <row r="90" spans="1:13" ht="11.25">
      <c r="A90" s="28"/>
      <c r="B90" s="28"/>
      <c r="C90" s="6"/>
      <c r="D90" s="6"/>
      <c r="E90" s="53"/>
      <c r="F90" s="6"/>
      <c r="G90" s="6"/>
      <c r="H90" s="6"/>
      <c r="I90" s="6"/>
      <c r="J90" s="6"/>
      <c r="K90" s="6"/>
      <c r="L90" s="53"/>
      <c r="M90" s="6"/>
    </row>
    <row r="91" spans="1:13" ht="11.25">
      <c r="A91" s="28"/>
      <c r="B91" s="28"/>
      <c r="C91" s="6"/>
      <c r="D91" s="6"/>
      <c r="E91" s="53"/>
      <c r="F91" s="6"/>
      <c r="G91" s="6"/>
      <c r="H91" s="6"/>
      <c r="I91" s="6"/>
      <c r="J91" s="6"/>
      <c r="K91" s="6"/>
      <c r="L91" s="53"/>
      <c r="M91" s="6"/>
    </row>
    <row r="92" spans="1:13" ht="11.25">
      <c r="A92" s="28"/>
      <c r="B92" s="28"/>
      <c r="C92" s="6"/>
      <c r="D92" s="6"/>
      <c r="E92" s="53"/>
      <c r="F92" s="6"/>
      <c r="G92" s="6"/>
      <c r="H92" s="6"/>
      <c r="I92" s="6"/>
      <c r="J92" s="6"/>
      <c r="K92" s="7"/>
      <c r="L92" s="20"/>
      <c r="M92" s="7"/>
    </row>
    <row r="93" spans="1:13" ht="11.25">
      <c r="A93" s="28"/>
      <c r="B93" s="28"/>
      <c r="C93" s="6"/>
      <c r="D93" s="6"/>
      <c r="E93" s="53"/>
      <c r="F93" s="6"/>
      <c r="G93" s="6"/>
      <c r="H93" s="6"/>
      <c r="I93" s="6"/>
      <c r="J93" s="6"/>
      <c r="K93" s="7"/>
      <c r="L93" s="20"/>
      <c r="M93" s="7"/>
    </row>
    <row r="94" spans="1:13" ht="11.25">
      <c r="A94" s="28"/>
      <c r="B94" s="28"/>
      <c r="C94" s="6"/>
      <c r="D94" s="6"/>
      <c r="E94" s="53"/>
      <c r="F94" s="6"/>
      <c r="G94" s="6"/>
      <c r="H94" s="6"/>
      <c r="I94" s="6"/>
      <c r="J94" s="6"/>
      <c r="K94" s="6"/>
      <c r="L94" s="53"/>
      <c r="M94" s="6"/>
    </row>
    <row r="95" spans="1:13" ht="11.25">
      <c r="A95" s="28"/>
      <c r="B95" s="28"/>
      <c r="C95" s="6"/>
      <c r="D95" s="6"/>
      <c r="E95" s="53"/>
      <c r="F95" s="6"/>
      <c r="G95" s="6"/>
      <c r="H95" s="6"/>
      <c r="I95" s="6"/>
      <c r="J95" s="6"/>
      <c r="K95" s="6"/>
      <c r="L95" s="53"/>
      <c r="M95" s="6"/>
    </row>
    <row r="96" spans="1:13" ht="11.25">
      <c r="A96" s="28"/>
      <c r="B96" s="28"/>
      <c r="C96" s="6"/>
      <c r="D96" s="6"/>
      <c r="E96" s="53"/>
      <c r="F96" s="6"/>
      <c r="G96" s="6"/>
      <c r="H96" s="6"/>
      <c r="I96" s="6"/>
      <c r="J96" s="6"/>
      <c r="K96" s="7"/>
      <c r="L96" s="20"/>
      <c r="M96" s="7"/>
    </row>
    <row r="97" spans="1:13" ht="11.25">
      <c r="A97" s="7"/>
      <c r="B97" s="28"/>
      <c r="C97" s="23"/>
      <c r="D97" s="23"/>
      <c r="E97" s="54"/>
      <c r="F97" s="23"/>
      <c r="G97" s="23"/>
      <c r="H97" s="23"/>
      <c r="I97" s="23"/>
      <c r="J97" s="23"/>
      <c r="K97" s="23"/>
      <c r="L97" s="54"/>
      <c r="M97" s="23"/>
    </row>
  </sheetData>
  <printOptions horizontalCentered="1" verticalCentered="1"/>
  <pageMargins left="0.1968503937007874" right="0.1968503937007874" top="0" bottom="0" header="0.3" footer="0.27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2"/>
  <sheetViews>
    <sheetView tabSelected="1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4" sqref="Y4"/>
    </sheetView>
  </sheetViews>
  <sheetFormatPr defaultColWidth="9.00390625" defaultRowHeight="12.75"/>
  <cols>
    <col min="1" max="1" width="23.875" style="0" customWidth="1"/>
    <col min="2" max="2" width="8.125" style="215" customWidth="1"/>
    <col min="3" max="3" width="9.00390625" style="0" customWidth="1"/>
    <col min="4" max="4" width="5.625" style="0" customWidth="1"/>
    <col min="5" max="5" width="7.25390625" style="0" customWidth="1"/>
    <col min="6" max="6" width="8.00390625" style="0" customWidth="1"/>
    <col min="7" max="7" width="7.125" style="0" customWidth="1"/>
    <col min="8" max="8" width="6.125" style="0" customWidth="1"/>
    <col min="9" max="9" width="5.625" style="0" customWidth="1"/>
    <col min="10" max="10" width="5.125" style="0" customWidth="1"/>
    <col min="11" max="11" width="5.375" style="0" customWidth="1"/>
    <col min="12" max="12" width="8.25390625" style="0" hidden="1" customWidth="1"/>
    <col min="13" max="13" width="4.625" style="0" customWidth="1"/>
    <col min="14" max="14" width="5.625" style="0" customWidth="1"/>
    <col min="15" max="15" width="4.875" style="0" customWidth="1"/>
    <col min="16" max="16" width="6.625" style="0" customWidth="1"/>
    <col min="17" max="17" width="6.00390625" style="0" customWidth="1"/>
    <col min="18" max="18" width="5.125" style="0" customWidth="1"/>
    <col min="19" max="19" width="5.625" style="0" customWidth="1"/>
    <col min="20" max="20" width="4.875" style="0" customWidth="1"/>
    <col min="21" max="21" width="5.375" style="0" customWidth="1"/>
    <col min="22" max="22" width="5.25390625" style="0" customWidth="1"/>
    <col min="23" max="25" width="5.375" style="0" customWidth="1"/>
    <col min="26" max="26" width="5.125" style="0" customWidth="1"/>
    <col min="27" max="27" width="5.625" style="0" customWidth="1"/>
    <col min="28" max="28" width="5.125" style="0" customWidth="1"/>
    <col min="29" max="29" width="6.625" style="0" customWidth="1"/>
    <col min="30" max="30" width="5.75390625" style="0" customWidth="1"/>
    <col min="31" max="31" width="6.00390625" style="0" customWidth="1"/>
    <col min="32" max="32" width="7.875" style="0" hidden="1" customWidth="1"/>
    <col min="33" max="33" width="6.75390625" style="0" customWidth="1"/>
  </cols>
  <sheetData>
    <row r="1" ht="15">
      <c r="AG1" s="216" t="s">
        <v>178</v>
      </c>
    </row>
    <row r="2" ht="18">
      <c r="B2" s="217" t="s">
        <v>179</v>
      </c>
    </row>
    <row r="3" spans="1:2" ht="26.25" customHeight="1">
      <c r="A3" s="217"/>
      <c r="B3" s="218"/>
    </row>
    <row r="4" spans="1:33" ht="32.25">
      <c r="A4" s="219" t="s">
        <v>180</v>
      </c>
      <c r="B4" s="220" t="s">
        <v>24</v>
      </c>
      <c r="C4" s="221" t="s">
        <v>29</v>
      </c>
      <c r="D4" s="222" t="s">
        <v>6</v>
      </c>
      <c r="E4" s="222" t="s">
        <v>2</v>
      </c>
      <c r="F4" s="222" t="s">
        <v>3</v>
      </c>
      <c r="G4" s="222" t="s">
        <v>4</v>
      </c>
      <c r="H4" s="222" t="s">
        <v>5</v>
      </c>
      <c r="I4" s="222" t="s">
        <v>26</v>
      </c>
      <c r="J4" s="222" t="s">
        <v>59</v>
      </c>
      <c r="K4" s="222" t="s">
        <v>8</v>
      </c>
      <c r="L4" s="222" t="s">
        <v>181</v>
      </c>
      <c r="M4" s="222" t="s">
        <v>129</v>
      </c>
      <c r="N4" s="222" t="s">
        <v>19</v>
      </c>
      <c r="O4" s="222" t="s">
        <v>182</v>
      </c>
      <c r="P4" s="222" t="s">
        <v>9</v>
      </c>
      <c r="Q4" s="222" t="s">
        <v>10</v>
      </c>
      <c r="R4" s="222" t="s">
        <v>12</v>
      </c>
      <c r="S4" s="222" t="s">
        <v>11</v>
      </c>
      <c r="T4" s="222" t="s">
        <v>130</v>
      </c>
      <c r="U4" s="222" t="s">
        <v>128</v>
      </c>
      <c r="V4" s="222" t="s">
        <v>123</v>
      </c>
      <c r="W4" s="222" t="s">
        <v>124</v>
      </c>
      <c r="X4" s="222" t="s">
        <v>20</v>
      </c>
      <c r="Y4" s="222" t="s">
        <v>131</v>
      </c>
      <c r="Z4" s="222" t="s">
        <v>183</v>
      </c>
      <c r="AA4" s="222" t="s">
        <v>184</v>
      </c>
      <c r="AB4" s="222" t="s">
        <v>27</v>
      </c>
      <c r="AC4" s="222" t="s">
        <v>7</v>
      </c>
      <c r="AD4" s="222" t="s">
        <v>125</v>
      </c>
      <c r="AE4" s="222" t="s">
        <v>127</v>
      </c>
      <c r="AF4" s="222" t="s">
        <v>185</v>
      </c>
      <c r="AG4" s="222" t="s">
        <v>74</v>
      </c>
    </row>
    <row r="5" spans="1:33" s="226" customFormat="1" ht="13.5">
      <c r="A5" s="223" t="s">
        <v>186</v>
      </c>
      <c r="B5" s="206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5"/>
      <c r="R5" s="225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</row>
    <row r="6" spans="1:33" s="226" customFormat="1" ht="17.25" customHeight="1">
      <c r="A6" s="227" t="s">
        <v>187</v>
      </c>
      <c r="B6" s="228">
        <v>22</v>
      </c>
      <c r="C6" s="229">
        <f>SUM(D6:AG6)</f>
        <v>518711</v>
      </c>
      <c r="D6" s="230">
        <v>0</v>
      </c>
      <c r="E6" s="230">
        <v>368381</v>
      </c>
      <c r="F6" s="230">
        <v>33909</v>
      </c>
      <c r="G6" s="230">
        <v>70081</v>
      </c>
      <c r="H6" s="230">
        <v>9728</v>
      </c>
      <c r="I6" s="230">
        <v>0</v>
      </c>
      <c r="J6" s="230">
        <v>0</v>
      </c>
      <c r="K6" s="230">
        <v>11900</v>
      </c>
      <c r="L6" s="230">
        <v>0</v>
      </c>
      <c r="M6" s="230"/>
      <c r="N6" s="230">
        <v>1000</v>
      </c>
      <c r="O6" s="230"/>
      <c r="P6" s="230">
        <v>3812</v>
      </c>
      <c r="Q6" s="231">
        <v>0</v>
      </c>
      <c r="R6" s="231">
        <v>0</v>
      </c>
      <c r="S6" s="230">
        <v>0</v>
      </c>
      <c r="T6" s="230"/>
      <c r="U6" s="230">
        <v>0</v>
      </c>
      <c r="V6" s="230"/>
      <c r="W6" s="230"/>
      <c r="X6" s="230">
        <v>0</v>
      </c>
      <c r="Y6" s="230"/>
      <c r="Z6" s="230">
        <v>0</v>
      </c>
      <c r="AA6" s="230"/>
      <c r="AB6" s="230">
        <v>0</v>
      </c>
      <c r="AC6" s="230">
        <v>19900</v>
      </c>
      <c r="AD6" s="230">
        <v>0</v>
      </c>
      <c r="AE6" s="230"/>
      <c r="AF6" s="230">
        <v>0</v>
      </c>
      <c r="AG6" s="230"/>
    </row>
    <row r="7" spans="1:33" s="226" customFormat="1" ht="16.5" customHeight="1">
      <c r="A7" s="232" t="s">
        <v>188</v>
      </c>
      <c r="B7" s="228">
        <v>114</v>
      </c>
      <c r="C7" s="229">
        <f>SUM(D7:AG7)</f>
        <v>2000770</v>
      </c>
      <c r="D7" s="230">
        <v>1000</v>
      </c>
      <c r="E7" s="230">
        <v>1309561</v>
      </c>
      <c r="F7" s="230">
        <v>110800</v>
      </c>
      <c r="G7" s="230">
        <v>241677</v>
      </c>
      <c r="H7" s="230">
        <v>33547</v>
      </c>
      <c r="I7" s="230">
        <v>0</v>
      </c>
      <c r="J7" s="230">
        <v>0</v>
      </c>
      <c r="K7" s="230">
        <v>1000</v>
      </c>
      <c r="L7" s="230">
        <v>0</v>
      </c>
      <c r="M7" s="230"/>
      <c r="N7" s="230">
        <v>0</v>
      </c>
      <c r="O7" s="230"/>
      <c r="P7" s="230">
        <v>146727</v>
      </c>
      <c r="Q7" s="231">
        <v>80000</v>
      </c>
      <c r="R7" s="231">
        <v>0</v>
      </c>
      <c r="S7" s="230">
        <v>580</v>
      </c>
      <c r="T7" s="230"/>
      <c r="U7" s="230">
        <f>3000-800</f>
        <v>2200</v>
      </c>
      <c r="V7" s="230">
        <v>0</v>
      </c>
      <c r="W7" s="230">
        <f>9500-1200</f>
        <v>8300</v>
      </c>
      <c r="X7" s="230">
        <v>0</v>
      </c>
      <c r="Y7" s="230"/>
      <c r="Z7" s="230">
        <v>0</v>
      </c>
      <c r="AA7" s="230"/>
      <c r="AB7" s="230">
        <v>0</v>
      </c>
      <c r="AC7" s="230">
        <v>65378</v>
      </c>
      <c r="AD7" s="230">
        <v>0</v>
      </c>
      <c r="AE7" s="230"/>
      <c r="AF7" s="230">
        <v>0</v>
      </c>
      <c r="AG7" s="230"/>
    </row>
    <row r="8" spans="1:33" s="226" customFormat="1" ht="16.5" customHeight="1">
      <c r="A8" s="232" t="s">
        <v>189</v>
      </c>
      <c r="B8" s="228">
        <v>70</v>
      </c>
      <c r="C8" s="229">
        <f>SUM(D8:AG8)</f>
        <v>1641743</v>
      </c>
      <c r="D8" s="230">
        <v>0</v>
      </c>
      <c r="E8" s="230">
        <v>1185126</v>
      </c>
      <c r="F8" s="230">
        <v>111800</v>
      </c>
      <c r="G8" s="230">
        <v>226527</v>
      </c>
      <c r="H8" s="230">
        <v>31444</v>
      </c>
      <c r="I8" s="230">
        <v>0</v>
      </c>
      <c r="J8" s="230">
        <v>0</v>
      </c>
      <c r="K8" s="230">
        <v>3400</v>
      </c>
      <c r="L8" s="230">
        <v>0</v>
      </c>
      <c r="M8" s="230"/>
      <c r="N8" s="230">
        <v>3000</v>
      </c>
      <c r="O8" s="230"/>
      <c r="P8" s="230">
        <v>18184</v>
      </c>
      <c r="Q8" s="231">
        <v>0</v>
      </c>
      <c r="R8" s="231">
        <v>0</v>
      </c>
      <c r="S8" s="230">
        <v>2000</v>
      </c>
      <c r="T8" s="230"/>
      <c r="U8" s="230">
        <v>0</v>
      </c>
      <c r="V8" s="230">
        <v>0</v>
      </c>
      <c r="W8" s="230">
        <v>0</v>
      </c>
      <c r="X8" s="230">
        <v>0</v>
      </c>
      <c r="Y8" s="230"/>
      <c r="Z8" s="230">
        <v>0</v>
      </c>
      <c r="AA8" s="230"/>
      <c r="AB8" s="230">
        <v>0</v>
      </c>
      <c r="AC8" s="230">
        <v>60262</v>
      </c>
      <c r="AD8" s="230"/>
      <c r="AE8" s="230"/>
      <c r="AF8" s="230">
        <v>0</v>
      </c>
      <c r="AG8" s="230"/>
    </row>
    <row r="9" spans="1:33" s="226" customFormat="1" ht="22.5" customHeight="1">
      <c r="A9" s="233" t="s">
        <v>190</v>
      </c>
      <c r="B9" s="234">
        <f aca="true" t="shared" si="0" ref="B9:AG9">SUM(B6:B8)</f>
        <v>206</v>
      </c>
      <c r="C9" s="235">
        <f t="shared" si="0"/>
        <v>4161224</v>
      </c>
      <c r="D9" s="234">
        <f t="shared" si="0"/>
        <v>1000</v>
      </c>
      <c r="E9" s="234">
        <f t="shared" si="0"/>
        <v>2863068</v>
      </c>
      <c r="F9" s="234">
        <f t="shared" si="0"/>
        <v>256509</v>
      </c>
      <c r="G9" s="234">
        <f t="shared" si="0"/>
        <v>538285</v>
      </c>
      <c r="H9" s="234">
        <f t="shared" si="0"/>
        <v>74719</v>
      </c>
      <c r="I9" s="234">
        <f t="shared" si="0"/>
        <v>0</v>
      </c>
      <c r="J9" s="234">
        <f t="shared" si="0"/>
        <v>0</v>
      </c>
      <c r="K9" s="234">
        <f t="shared" si="0"/>
        <v>16300</v>
      </c>
      <c r="L9" s="234">
        <f t="shared" si="0"/>
        <v>0</v>
      </c>
      <c r="M9" s="234">
        <f t="shared" si="0"/>
        <v>0</v>
      </c>
      <c r="N9" s="234">
        <f t="shared" si="0"/>
        <v>4000</v>
      </c>
      <c r="O9" s="234">
        <f t="shared" si="0"/>
        <v>0</v>
      </c>
      <c r="P9" s="234">
        <f t="shared" si="0"/>
        <v>168723</v>
      </c>
      <c r="Q9" s="234">
        <f t="shared" si="0"/>
        <v>80000</v>
      </c>
      <c r="R9" s="234">
        <f t="shared" si="0"/>
        <v>0</v>
      </c>
      <c r="S9" s="234">
        <f t="shared" si="0"/>
        <v>2580</v>
      </c>
      <c r="T9" s="234">
        <f t="shared" si="0"/>
        <v>0</v>
      </c>
      <c r="U9" s="234">
        <f t="shared" si="0"/>
        <v>2200</v>
      </c>
      <c r="V9" s="234">
        <f t="shared" si="0"/>
        <v>0</v>
      </c>
      <c r="W9" s="234">
        <f t="shared" si="0"/>
        <v>8300</v>
      </c>
      <c r="X9" s="234">
        <f t="shared" si="0"/>
        <v>0</v>
      </c>
      <c r="Y9" s="234">
        <f t="shared" si="0"/>
        <v>0</v>
      </c>
      <c r="Z9" s="234">
        <f t="shared" si="0"/>
        <v>0</v>
      </c>
      <c r="AA9" s="234">
        <f t="shared" si="0"/>
        <v>0</v>
      </c>
      <c r="AB9" s="234">
        <f t="shared" si="0"/>
        <v>0</v>
      </c>
      <c r="AC9" s="234">
        <f t="shared" si="0"/>
        <v>145540</v>
      </c>
      <c r="AD9" s="234">
        <f t="shared" si="0"/>
        <v>0</v>
      </c>
      <c r="AE9" s="234">
        <f t="shared" si="0"/>
        <v>0</v>
      </c>
      <c r="AF9" s="234">
        <f t="shared" si="0"/>
        <v>0</v>
      </c>
      <c r="AG9" s="234">
        <f t="shared" si="0"/>
        <v>0</v>
      </c>
    </row>
    <row r="10" spans="1:33" s="226" customFormat="1" ht="16.5" customHeight="1">
      <c r="A10" s="236" t="s">
        <v>187</v>
      </c>
      <c r="B10" s="230">
        <v>15</v>
      </c>
      <c r="C10" s="229">
        <f>SUM(D10:AG10)</f>
        <v>301176</v>
      </c>
      <c r="D10" s="230"/>
      <c r="E10" s="230">
        <v>223803</v>
      </c>
      <c r="F10" s="230">
        <v>14632</v>
      </c>
      <c r="G10" s="230">
        <v>41649</v>
      </c>
      <c r="H10" s="230">
        <v>5781</v>
      </c>
      <c r="I10" s="230"/>
      <c r="J10" s="230"/>
      <c r="K10" s="230">
        <f>3540+200</f>
        <v>3740</v>
      </c>
      <c r="L10" s="230"/>
      <c r="M10" s="230"/>
      <c r="N10" s="230">
        <v>440</v>
      </c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>
        <v>11131</v>
      </c>
      <c r="AD10" s="230"/>
      <c r="AE10" s="230"/>
      <c r="AF10" s="230"/>
      <c r="AG10" s="230"/>
    </row>
    <row r="11" spans="1:33" s="226" customFormat="1" ht="16.5" customHeight="1">
      <c r="A11" s="232" t="s">
        <v>191</v>
      </c>
      <c r="B11" s="230">
        <v>10</v>
      </c>
      <c r="C11" s="229">
        <f>SUM(D11:AG11)</f>
        <v>147739</v>
      </c>
      <c r="D11" s="230">
        <v>200</v>
      </c>
      <c r="E11" s="230">
        <v>117053</v>
      </c>
      <c r="F11" s="230">
        <v>0</v>
      </c>
      <c r="G11" s="230">
        <v>20660</v>
      </c>
      <c r="H11" s="230">
        <v>2868</v>
      </c>
      <c r="I11" s="230">
        <v>0</v>
      </c>
      <c r="J11" s="230">
        <v>0</v>
      </c>
      <c r="K11" s="230">
        <v>200</v>
      </c>
      <c r="L11" s="230">
        <v>0</v>
      </c>
      <c r="M11" s="230"/>
      <c r="N11" s="230">
        <v>0</v>
      </c>
      <c r="O11" s="230"/>
      <c r="P11" s="230">
        <v>0</v>
      </c>
      <c r="Q11" s="230">
        <v>0</v>
      </c>
      <c r="R11" s="230">
        <v>300</v>
      </c>
      <c r="S11" s="230">
        <v>500</v>
      </c>
      <c r="T11" s="230"/>
      <c r="U11" s="230">
        <v>0</v>
      </c>
      <c r="V11" s="230">
        <v>0</v>
      </c>
      <c r="W11" s="230">
        <v>0</v>
      </c>
      <c r="X11" s="230">
        <v>0</v>
      </c>
      <c r="Y11" s="230"/>
      <c r="Z11" s="230">
        <v>0</v>
      </c>
      <c r="AA11" s="230"/>
      <c r="AB11" s="230">
        <v>0</v>
      </c>
      <c r="AC11" s="230">
        <v>5958</v>
      </c>
      <c r="AD11" s="230"/>
      <c r="AE11" s="230"/>
      <c r="AF11" s="230">
        <v>0</v>
      </c>
      <c r="AG11" s="230"/>
    </row>
    <row r="12" spans="1:33" s="226" customFormat="1" ht="27" customHeight="1">
      <c r="A12" s="233" t="s">
        <v>192</v>
      </c>
      <c r="B12" s="234">
        <f>B10+B11</f>
        <v>25</v>
      </c>
      <c r="C12" s="237">
        <f>SUM(C10:C11)</f>
        <v>448915</v>
      </c>
      <c r="D12" s="234">
        <f aca="true" t="shared" si="1" ref="D12:AG12">D10+D11</f>
        <v>200</v>
      </c>
      <c r="E12" s="234">
        <f t="shared" si="1"/>
        <v>340856</v>
      </c>
      <c r="F12" s="234">
        <f t="shared" si="1"/>
        <v>14632</v>
      </c>
      <c r="G12" s="234">
        <f t="shared" si="1"/>
        <v>62309</v>
      </c>
      <c r="H12" s="234">
        <f t="shared" si="1"/>
        <v>8649</v>
      </c>
      <c r="I12" s="234">
        <f t="shared" si="1"/>
        <v>0</v>
      </c>
      <c r="J12" s="234">
        <f t="shared" si="1"/>
        <v>0</v>
      </c>
      <c r="K12" s="234">
        <f t="shared" si="1"/>
        <v>3940</v>
      </c>
      <c r="L12" s="234">
        <f t="shared" si="1"/>
        <v>0</v>
      </c>
      <c r="M12" s="234">
        <f t="shared" si="1"/>
        <v>0</v>
      </c>
      <c r="N12" s="234">
        <f t="shared" si="1"/>
        <v>440</v>
      </c>
      <c r="O12" s="234">
        <f t="shared" si="1"/>
        <v>0</v>
      </c>
      <c r="P12" s="234">
        <f t="shared" si="1"/>
        <v>0</v>
      </c>
      <c r="Q12" s="234">
        <f t="shared" si="1"/>
        <v>0</v>
      </c>
      <c r="R12" s="234">
        <f t="shared" si="1"/>
        <v>300</v>
      </c>
      <c r="S12" s="234">
        <f t="shared" si="1"/>
        <v>500</v>
      </c>
      <c r="T12" s="234">
        <f t="shared" si="1"/>
        <v>0</v>
      </c>
      <c r="U12" s="234">
        <f t="shared" si="1"/>
        <v>0</v>
      </c>
      <c r="V12" s="234">
        <f t="shared" si="1"/>
        <v>0</v>
      </c>
      <c r="W12" s="234">
        <f t="shared" si="1"/>
        <v>0</v>
      </c>
      <c r="X12" s="234">
        <f t="shared" si="1"/>
        <v>0</v>
      </c>
      <c r="Y12" s="234">
        <f t="shared" si="1"/>
        <v>0</v>
      </c>
      <c r="Z12" s="234">
        <f t="shared" si="1"/>
        <v>0</v>
      </c>
      <c r="AA12" s="234">
        <f t="shared" si="1"/>
        <v>0</v>
      </c>
      <c r="AB12" s="234">
        <f t="shared" si="1"/>
        <v>0</v>
      </c>
      <c r="AC12" s="234">
        <f t="shared" si="1"/>
        <v>17089</v>
      </c>
      <c r="AD12" s="234">
        <f t="shared" si="1"/>
        <v>0</v>
      </c>
      <c r="AE12" s="234">
        <f t="shared" si="1"/>
        <v>0</v>
      </c>
      <c r="AF12" s="234">
        <f t="shared" si="1"/>
        <v>0</v>
      </c>
      <c r="AG12" s="234">
        <f t="shared" si="1"/>
        <v>0</v>
      </c>
    </row>
    <row r="13" spans="1:33" s="226" customFormat="1" ht="13.5">
      <c r="A13" s="227" t="s">
        <v>187</v>
      </c>
      <c r="B13" s="228">
        <v>14</v>
      </c>
      <c r="C13" s="229">
        <f>SUM(D13:AG13)</f>
        <v>371832</v>
      </c>
      <c r="D13" s="230"/>
      <c r="E13" s="230">
        <v>272311</v>
      </c>
      <c r="F13" s="230">
        <v>20354</v>
      </c>
      <c r="G13" s="230">
        <v>50400</v>
      </c>
      <c r="H13" s="230">
        <v>6996</v>
      </c>
      <c r="I13" s="230"/>
      <c r="J13" s="230"/>
      <c r="K13" s="230">
        <f>7600+344</f>
        <v>7944</v>
      </c>
      <c r="L13" s="230"/>
      <c r="M13" s="230"/>
      <c r="N13" s="230"/>
      <c r="O13" s="230"/>
      <c r="P13" s="230">
        <v>1855</v>
      </c>
      <c r="Q13" s="231"/>
      <c r="R13" s="231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>
        <v>11972</v>
      </c>
      <c r="AD13" s="230"/>
      <c r="AE13" s="230"/>
      <c r="AF13" s="230"/>
      <c r="AG13" s="230"/>
    </row>
    <row r="14" spans="1:33" s="226" customFormat="1" ht="23.25">
      <c r="A14" s="232" t="s">
        <v>188</v>
      </c>
      <c r="B14" s="228">
        <v>105</v>
      </c>
      <c r="C14" s="229">
        <f>SUM(D14:AG14)</f>
        <v>1464739</v>
      </c>
      <c r="D14" s="230"/>
      <c r="E14" s="230">
        <v>1075854</v>
      </c>
      <c r="F14" s="230">
        <v>87200</v>
      </c>
      <c r="G14" s="230">
        <v>204648</v>
      </c>
      <c r="H14" s="230">
        <v>28407</v>
      </c>
      <c r="I14" s="230"/>
      <c r="J14" s="230"/>
      <c r="K14" s="230">
        <v>6100</v>
      </c>
      <c r="L14" s="230"/>
      <c r="M14" s="230"/>
      <c r="N14" s="230"/>
      <c r="O14" s="230"/>
      <c r="P14" s="230"/>
      <c r="Q14" s="231">
        <v>1000</v>
      </c>
      <c r="R14" s="231">
        <v>2500</v>
      </c>
      <c r="S14" s="230">
        <v>2000</v>
      </c>
      <c r="T14" s="230"/>
      <c r="U14" s="230"/>
      <c r="V14" s="230"/>
      <c r="W14" s="230"/>
      <c r="X14" s="230">
        <v>1000</v>
      </c>
      <c r="Y14" s="230"/>
      <c r="Z14" s="230"/>
      <c r="AA14" s="230"/>
      <c r="AB14" s="230"/>
      <c r="AC14" s="230">
        <v>56030</v>
      </c>
      <c r="AD14" s="230"/>
      <c r="AE14" s="230"/>
      <c r="AF14" s="230"/>
      <c r="AG14" s="230"/>
    </row>
    <row r="15" spans="1:33" ht="13.5">
      <c r="A15" s="232" t="s">
        <v>189</v>
      </c>
      <c r="B15" s="228">
        <v>42</v>
      </c>
      <c r="C15" s="229">
        <f>SUM(D15:AG15)</f>
        <v>625041</v>
      </c>
      <c r="D15" s="230"/>
      <c r="E15" s="230">
        <v>468752</v>
      </c>
      <c r="F15" s="230">
        <v>28376</v>
      </c>
      <c r="G15" s="230">
        <v>86608</v>
      </c>
      <c r="H15" s="230">
        <v>12022</v>
      </c>
      <c r="I15" s="230">
        <v>0</v>
      </c>
      <c r="J15" s="230">
        <v>0</v>
      </c>
      <c r="K15" s="230">
        <v>2740</v>
      </c>
      <c r="L15" s="230">
        <v>0</v>
      </c>
      <c r="M15" s="230"/>
      <c r="N15" s="230">
        <v>300</v>
      </c>
      <c r="O15" s="230"/>
      <c r="P15" s="230">
        <v>542</v>
      </c>
      <c r="Q15" s="230">
        <v>0</v>
      </c>
      <c r="R15" s="230">
        <v>0</v>
      </c>
      <c r="S15" s="230">
        <v>2000</v>
      </c>
      <c r="T15" s="230"/>
      <c r="U15" s="230">
        <v>0</v>
      </c>
      <c r="V15" s="230">
        <v>0</v>
      </c>
      <c r="W15" s="230">
        <v>0</v>
      </c>
      <c r="X15" s="230">
        <v>0</v>
      </c>
      <c r="Y15" s="230"/>
      <c r="Z15" s="230">
        <v>0</v>
      </c>
      <c r="AA15" s="230"/>
      <c r="AB15" s="230">
        <v>0</v>
      </c>
      <c r="AC15" s="230">
        <v>23701</v>
      </c>
      <c r="AD15" s="230"/>
      <c r="AE15" s="230"/>
      <c r="AF15" s="230"/>
      <c r="AG15" s="230"/>
    </row>
    <row r="16" spans="1:33" ht="22.5">
      <c r="A16" s="233" t="s">
        <v>193</v>
      </c>
      <c r="B16" s="234">
        <f aca="true" t="shared" si="2" ref="B16:AG16">SUM(B13:B15)</f>
        <v>161</v>
      </c>
      <c r="C16" s="235">
        <f t="shared" si="2"/>
        <v>2461612</v>
      </c>
      <c r="D16" s="234">
        <f t="shared" si="2"/>
        <v>0</v>
      </c>
      <c r="E16" s="234">
        <f t="shared" si="2"/>
        <v>1816917</v>
      </c>
      <c r="F16" s="234">
        <f t="shared" si="2"/>
        <v>135930</v>
      </c>
      <c r="G16" s="234">
        <f t="shared" si="2"/>
        <v>341656</v>
      </c>
      <c r="H16" s="234">
        <f t="shared" si="2"/>
        <v>47425</v>
      </c>
      <c r="I16" s="234">
        <f t="shared" si="2"/>
        <v>0</v>
      </c>
      <c r="J16" s="234">
        <f t="shared" si="2"/>
        <v>0</v>
      </c>
      <c r="K16" s="234">
        <f t="shared" si="2"/>
        <v>16784</v>
      </c>
      <c r="L16" s="234">
        <f t="shared" si="2"/>
        <v>0</v>
      </c>
      <c r="M16" s="234">
        <f t="shared" si="2"/>
        <v>0</v>
      </c>
      <c r="N16" s="234">
        <f t="shared" si="2"/>
        <v>300</v>
      </c>
      <c r="O16" s="234">
        <f t="shared" si="2"/>
        <v>0</v>
      </c>
      <c r="P16" s="234">
        <f t="shared" si="2"/>
        <v>2397</v>
      </c>
      <c r="Q16" s="234">
        <f t="shared" si="2"/>
        <v>1000</v>
      </c>
      <c r="R16" s="234">
        <f t="shared" si="2"/>
        <v>2500</v>
      </c>
      <c r="S16" s="234">
        <f t="shared" si="2"/>
        <v>4000</v>
      </c>
      <c r="T16" s="234">
        <f t="shared" si="2"/>
        <v>0</v>
      </c>
      <c r="U16" s="234">
        <f t="shared" si="2"/>
        <v>0</v>
      </c>
      <c r="V16" s="234">
        <f t="shared" si="2"/>
        <v>0</v>
      </c>
      <c r="W16" s="234">
        <f t="shared" si="2"/>
        <v>0</v>
      </c>
      <c r="X16" s="234">
        <f t="shared" si="2"/>
        <v>1000</v>
      </c>
      <c r="Y16" s="234">
        <f t="shared" si="2"/>
        <v>0</v>
      </c>
      <c r="Z16" s="234">
        <f t="shared" si="2"/>
        <v>0</v>
      </c>
      <c r="AA16" s="234">
        <f t="shared" si="2"/>
        <v>0</v>
      </c>
      <c r="AB16" s="234">
        <f t="shared" si="2"/>
        <v>0</v>
      </c>
      <c r="AC16" s="234">
        <f t="shared" si="2"/>
        <v>91703</v>
      </c>
      <c r="AD16" s="234">
        <f t="shared" si="2"/>
        <v>0</v>
      </c>
      <c r="AE16" s="234">
        <f t="shared" si="2"/>
        <v>0</v>
      </c>
      <c r="AF16" s="234">
        <f t="shared" si="2"/>
        <v>0</v>
      </c>
      <c r="AG16" s="234">
        <f t="shared" si="2"/>
        <v>0</v>
      </c>
    </row>
    <row r="17" spans="1:33" ht="13.5">
      <c r="A17" s="232" t="s">
        <v>194</v>
      </c>
      <c r="B17" s="228">
        <v>515</v>
      </c>
      <c r="C17" s="229">
        <f aca="true" t="shared" si="3" ref="C17:C34">SUM(D17:AG17)</f>
        <v>2566843</v>
      </c>
      <c r="D17" s="230">
        <v>3870</v>
      </c>
      <c r="E17" s="230">
        <v>1665717</v>
      </c>
      <c r="F17" s="230">
        <v>129068</v>
      </c>
      <c r="G17" s="230">
        <v>314828</v>
      </c>
      <c r="H17" s="230">
        <v>43701</v>
      </c>
      <c r="I17" s="230">
        <v>0</v>
      </c>
      <c r="J17" s="230">
        <v>40000</v>
      </c>
      <c r="K17" s="230">
        <v>132000</v>
      </c>
      <c r="L17" s="230">
        <v>0</v>
      </c>
      <c r="M17" s="230"/>
      <c r="N17" s="230">
        <v>2000</v>
      </c>
      <c r="O17" s="230"/>
      <c r="P17" s="230">
        <v>24200</v>
      </c>
      <c r="Q17" s="230">
        <v>0</v>
      </c>
      <c r="R17" s="230">
        <v>2000</v>
      </c>
      <c r="S17" s="230">
        <v>99290</v>
      </c>
      <c r="T17" s="230"/>
      <c r="U17" s="230">
        <v>0</v>
      </c>
      <c r="V17" s="230">
        <v>0</v>
      </c>
      <c r="W17" s="230">
        <v>4200</v>
      </c>
      <c r="X17" s="230">
        <v>400</v>
      </c>
      <c r="Y17" s="230"/>
      <c r="Z17" s="230">
        <v>0</v>
      </c>
      <c r="AA17" s="230"/>
      <c r="AB17" s="230">
        <v>0</v>
      </c>
      <c r="AC17" s="230">
        <v>105569</v>
      </c>
      <c r="AD17" s="230"/>
      <c r="AE17" s="230"/>
      <c r="AF17" s="230">
        <v>0</v>
      </c>
      <c r="AG17" s="230"/>
    </row>
    <row r="18" spans="1:33" ht="13.5">
      <c r="A18" s="232" t="s">
        <v>195</v>
      </c>
      <c r="B18" s="228">
        <v>551</v>
      </c>
      <c r="C18" s="229">
        <f t="shared" si="3"/>
        <v>2779414</v>
      </c>
      <c r="D18" s="230">
        <v>7000</v>
      </c>
      <c r="E18" s="230">
        <v>1907227</v>
      </c>
      <c r="F18" s="230">
        <v>150082</v>
      </c>
      <c r="G18" s="230">
        <v>357989</v>
      </c>
      <c r="H18" s="230">
        <v>49693</v>
      </c>
      <c r="I18" s="230">
        <v>9000</v>
      </c>
      <c r="J18" s="230">
        <v>0</v>
      </c>
      <c r="K18" s="230">
        <v>10214</v>
      </c>
      <c r="L18" s="230">
        <v>0</v>
      </c>
      <c r="M18" s="230"/>
      <c r="N18" s="230">
        <v>2000</v>
      </c>
      <c r="O18" s="230"/>
      <c r="P18" s="230">
        <v>152200</v>
      </c>
      <c r="Q18" s="230">
        <v>2440</v>
      </c>
      <c r="R18" s="230">
        <v>2730</v>
      </c>
      <c r="S18" s="230">
        <v>18000</v>
      </c>
      <c r="T18" s="230"/>
      <c r="U18" s="230">
        <v>2400</v>
      </c>
      <c r="V18" s="230">
        <v>0</v>
      </c>
      <c r="W18" s="230">
        <v>0</v>
      </c>
      <c r="X18" s="230">
        <v>1500</v>
      </c>
      <c r="Y18" s="230"/>
      <c r="Z18" s="230">
        <v>0</v>
      </c>
      <c r="AA18" s="230"/>
      <c r="AB18" s="230">
        <v>0</v>
      </c>
      <c r="AC18" s="230">
        <v>106939</v>
      </c>
      <c r="AD18" s="230"/>
      <c r="AE18" s="230"/>
      <c r="AF18" s="230">
        <v>0</v>
      </c>
      <c r="AG18" s="230"/>
    </row>
    <row r="19" spans="1:33" ht="13.5">
      <c r="A19" s="238" t="s">
        <v>196</v>
      </c>
      <c r="B19" s="228">
        <v>660</v>
      </c>
      <c r="C19" s="229">
        <f t="shared" si="3"/>
        <v>4079863</v>
      </c>
      <c r="D19" s="230">
        <v>3000</v>
      </c>
      <c r="E19" s="230">
        <v>2783755</v>
      </c>
      <c r="F19" s="230">
        <v>219589</v>
      </c>
      <c r="G19" s="230">
        <v>524739</v>
      </c>
      <c r="H19" s="230">
        <v>72839</v>
      </c>
      <c r="I19" s="230">
        <v>0</v>
      </c>
      <c r="J19" s="230">
        <v>0</v>
      </c>
      <c r="K19" s="230">
        <v>7080</v>
      </c>
      <c r="L19" s="230">
        <v>0</v>
      </c>
      <c r="M19" s="230">
        <v>500</v>
      </c>
      <c r="N19" s="230">
        <v>0</v>
      </c>
      <c r="O19" s="230"/>
      <c r="P19" s="230">
        <v>207197</v>
      </c>
      <c r="Q19" s="230">
        <v>0</v>
      </c>
      <c r="R19" s="230">
        <v>7440</v>
      </c>
      <c r="S19" s="230">
        <v>30000</v>
      </c>
      <c r="T19" s="230">
        <v>500</v>
      </c>
      <c r="U19" s="230">
        <v>0</v>
      </c>
      <c r="V19" s="230">
        <v>0</v>
      </c>
      <c r="W19" s="230">
        <v>0</v>
      </c>
      <c r="X19" s="230">
        <v>0</v>
      </c>
      <c r="Y19" s="230">
        <v>13464</v>
      </c>
      <c r="Z19" s="230">
        <v>0</v>
      </c>
      <c r="AA19" s="230"/>
      <c r="AB19" s="230">
        <v>0</v>
      </c>
      <c r="AC19" s="230">
        <v>149760</v>
      </c>
      <c r="AD19" s="230"/>
      <c r="AE19" s="230"/>
      <c r="AF19" s="230">
        <v>0</v>
      </c>
      <c r="AG19" s="230">
        <v>60000</v>
      </c>
    </row>
    <row r="20" spans="1:33" ht="13.5">
      <c r="A20" s="232" t="s">
        <v>197</v>
      </c>
      <c r="B20" s="228">
        <v>552</v>
      </c>
      <c r="C20" s="229">
        <f t="shared" si="3"/>
        <v>2564484</v>
      </c>
      <c r="D20" s="230">
        <v>2000</v>
      </c>
      <c r="E20" s="230">
        <v>1649268</v>
      </c>
      <c r="F20" s="230">
        <v>140692</v>
      </c>
      <c r="G20" s="230">
        <v>315601</v>
      </c>
      <c r="H20" s="230">
        <v>43809</v>
      </c>
      <c r="I20" s="230">
        <v>0</v>
      </c>
      <c r="J20" s="230">
        <v>0</v>
      </c>
      <c r="K20" s="230">
        <f>12802+8500</f>
        <v>21302</v>
      </c>
      <c r="L20" s="230">
        <v>0</v>
      </c>
      <c r="M20" s="230">
        <v>1899</v>
      </c>
      <c r="N20" s="230">
        <v>0</v>
      </c>
      <c r="O20" s="230"/>
      <c r="P20" s="230">
        <v>187334</v>
      </c>
      <c r="Q20" s="230">
        <v>70000</v>
      </c>
      <c r="R20" s="230">
        <v>2000</v>
      </c>
      <c r="S20" s="230">
        <f>12066+5000</f>
        <v>17066</v>
      </c>
      <c r="T20" s="230">
        <v>1000</v>
      </c>
      <c r="U20" s="230">
        <v>800</v>
      </c>
      <c r="V20" s="230">
        <v>0</v>
      </c>
      <c r="W20" s="230">
        <v>3700</v>
      </c>
      <c r="X20" s="230">
        <v>1500</v>
      </c>
      <c r="Y20" s="230"/>
      <c r="Z20" s="230">
        <v>0</v>
      </c>
      <c r="AA20" s="230"/>
      <c r="AB20" s="230">
        <v>1500</v>
      </c>
      <c r="AC20" s="230">
        <v>95013</v>
      </c>
      <c r="AD20" s="230">
        <v>6000</v>
      </c>
      <c r="AE20" s="230">
        <v>4000</v>
      </c>
      <c r="AF20" s="230">
        <v>0</v>
      </c>
      <c r="AG20" s="230"/>
    </row>
    <row r="21" spans="1:33" ht="13.5">
      <c r="A21" s="232" t="s">
        <v>198</v>
      </c>
      <c r="B21" s="228">
        <v>518</v>
      </c>
      <c r="C21" s="229">
        <f t="shared" si="3"/>
        <v>2356553</v>
      </c>
      <c r="D21" s="230">
        <v>3000</v>
      </c>
      <c r="E21" s="230">
        <v>1635369</v>
      </c>
      <c r="F21" s="230">
        <v>128819</v>
      </c>
      <c r="G21" s="230">
        <v>311739</v>
      </c>
      <c r="H21" s="230">
        <v>43273</v>
      </c>
      <c r="I21" s="230">
        <v>0</v>
      </c>
      <c r="J21" s="230">
        <v>0</v>
      </c>
      <c r="K21" s="230">
        <f>15700-2800</f>
        <v>12900</v>
      </c>
      <c r="L21" s="230">
        <v>0</v>
      </c>
      <c r="M21" s="230"/>
      <c r="N21" s="230">
        <v>2000</v>
      </c>
      <c r="O21" s="230"/>
      <c r="P21" s="230">
        <v>82819</v>
      </c>
      <c r="Q21" s="230">
        <v>2000</v>
      </c>
      <c r="R21" s="230">
        <v>3000</v>
      </c>
      <c r="S21" s="230">
        <f>20080-3000</f>
        <v>17080</v>
      </c>
      <c r="T21" s="230"/>
      <c r="U21" s="230">
        <v>708</v>
      </c>
      <c r="V21" s="230"/>
      <c r="W21" s="230">
        <v>4600</v>
      </c>
      <c r="X21" s="230">
        <v>300</v>
      </c>
      <c r="Y21" s="230"/>
      <c r="Z21" s="230">
        <v>0</v>
      </c>
      <c r="AA21" s="230"/>
      <c r="AB21" s="230">
        <v>5800</v>
      </c>
      <c r="AC21" s="230">
        <v>101122</v>
      </c>
      <c r="AD21" s="230">
        <v>900</v>
      </c>
      <c r="AE21" s="230">
        <v>1124</v>
      </c>
      <c r="AF21" s="230">
        <v>0</v>
      </c>
      <c r="AG21" s="230"/>
    </row>
    <row r="22" spans="1:33" ht="13.5">
      <c r="A22" s="232" t="s">
        <v>199</v>
      </c>
      <c r="B22" s="228">
        <v>568</v>
      </c>
      <c r="C22" s="229">
        <f t="shared" si="3"/>
        <v>2717773</v>
      </c>
      <c r="D22" s="230">
        <v>5500</v>
      </c>
      <c r="E22" s="230">
        <v>1840917</v>
      </c>
      <c r="F22" s="230">
        <v>147650</v>
      </c>
      <c r="G22" s="230">
        <v>343036</v>
      </c>
      <c r="H22" s="230">
        <v>47617</v>
      </c>
      <c r="I22" s="230">
        <v>0</v>
      </c>
      <c r="J22" s="230">
        <v>0</v>
      </c>
      <c r="K22" s="230">
        <v>18800</v>
      </c>
      <c r="L22" s="230">
        <v>0</v>
      </c>
      <c r="M22" s="230"/>
      <c r="N22" s="230">
        <v>700</v>
      </c>
      <c r="O22" s="230"/>
      <c r="P22" s="230">
        <v>107758</v>
      </c>
      <c r="Q22" s="230">
        <v>3000</v>
      </c>
      <c r="R22" s="230">
        <v>1200</v>
      </c>
      <c r="S22" s="230">
        <v>11324</v>
      </c>
      <c r="T22" s="230"/>
      <c r="U22" s="230">
        <v>708</v>
      </c>
      <c r="V22" s="230">
        <v>0</v>
      </c>
      <c r="W22" s="230">
        <v>4680</v>
      </c>
      <c r="X22" s="230">
        <v>800</v>
      </c>
      <c r="Y22" s="230"/>
      <c r="Z22" s="230">
        <v>0</v>
      </c>
      <c r="AA22" s="230"/>
      <c r="AB22" s="230">
        <v>1000</v>
      </c>
      <c r="AC22" s="230">
        <v>103083</v>
      </c>
      <c r="AD22" s="230">
        <v>0</v>
      </c>
      <c r="AE22" s="230">
        <v>0</v>
      </c>
      <c r="AF22" s="230">
        <v>0</v>
      </c>
      <c r="AG22" s="230">
        <v>80000</v>
      </c>
    </row>
    <row r="23" spans="1:33" ht="13.5">
      <c r="A23" s="232" t="s">
        <v>200</v>
      </c>
      <c r="B23" s="228">
        <v>184</v>
      </c>
      <c r="C23" s="229">
        <f t="shared" si="3"/>
        <v>1040487</v>
      </c>
      <c r="D23" s="230">
        <v>2000</v>
      </c>
      <c r="E23" s="230">
        <v>673371</v>
      </c>
      <c r="F23" s="230">
        <v>51471</v>
      </c>
      <c r="G23" s="230">
        <v>127013</v>
      </c>
      <c r="H23" s="230">
        <v>17631</v>
      </c>
      <c r="I23" s="230">
        <v>7000</v>
      </c>
      <c r="J23" s="230">
        <v>1000</v>
      </c>
      <c r="K23" s="230">
        <v>4000</v>
      </c>
      <c r="L23" s="230">
        <v>0</v>
      </c>
      <c r="M23" s="230"/>
      <c r="N23" s="230">
        <v>1500</v>
      </c>
      <c r="O23" s="230"/>
      <c r="P23" s="230">
        <v>45873</v>
      </c>
      <c r="Q23" s="230">
        <f>3000+60000</f>
        <v>63000</v>
      </c>
      <c r="R23" s="230">
        <v>1500</v>
      </c>
      <c r="S23" s="230">
        <v>3200</v>
      </c>
      <c r="T23" s="230"/>
      <c r="U23" s="230">
        <v>800</v>
      </c>
      <c r="V23" s="230">
        <v>0</v>
      </c>
      <c r="W23" s="230">
        <v>0</v>
      </c>
      <c r="X23" s="230">
        <v>664</v>
      </c>
      <c r="Y23" s="230"/>
      <c r="Z23" s="230">
        <v>0</v>
      </c>
      <c r="AA23" s="230"/>
      <c r="AB23" s="230">
        <v>0</v>
      </c>
      <c r="AC23" s="230">
        <v>40464</v>
      </c>
      <c r="AD23" s="230">
        <v>0</v>
      </c>
      <c r="AE23" s="230">
        <v>0</v>
      </c>
      <c r="AF23" s="230">
        <v>0</v>
      </c>
      <c r="AG23" s="230"/>
    </row>
    <row r="24" spans="1:33" ht="13.5">
      <c r="A24" s="232" t="s">
        <v>201</v>
      </c>
      <c r="B24" s="228">
        <v>292</v>
      </c>
      <c r="C24" s="229">
        <f t="shared" si="3"/>
        <v>1858941</v>
      </c>
      <c r="D24" s="230">
        <v>2700</v>
      </c>
      <c r="E24" s="230">
        <v>1272528</v>
      </c>
      <c r="F24" s="230">
        <v>110423</v>
      </c>
      <c r="G24" s="230">
        <v>240672</v>
      </c>
      <c r="H24" s="230">
        <v>33408</v>
      </c>
      <c r="I24" s="230">
        <v>0</v>
      </c>
      <c r="J24" s="230">
        <v>0</v>
      </c>
      <c r="K24" s="230">
        <v>7100</v>
      </c>
      <c r="L24" s="230">
        <v>0</v>
      </c>
      <c r="M24" s="230"/>
      <c r="N24" s="230">
        <v>1000</v>
      </c>
      <c r="O24" s="230"/>
      <c r="P24" s="230">
        <v>92726</v>
      </c>
      <c r="Q24" s="230">
        <v>2000</v>
      </c>
      <c r="R24" s="230">
        <v>2000</v>
      </c>
      <c r="S24" s="230">
        <v>7532</v>
      </c>
      <c r="T24" s="230"/>
      <c r="U24" s="230">
        <v>1500</v>
      </c>
      <c r="V24" s="230">
        <v>0</v>
      </c>
      <c r="W24" s="230">
        <v>4000</v>
      </c>
      <c r="X24" s="230">
        <v>0</v>
      </c>
      <c r="Y24" s="230"/>
      <c r="Z24" s="230">
        <v>0</v>
      </c>
      <c r="AA24" s="230"/>
      <c r="AB24" s="230">
        <v>200</v>
      </c>
      <c r="AC24" s="230">
        <v>81152</v>
      </c>
      <c r="AD24" s="230">
        <v>0</v>
      </c>
      <c r="AE24" s="230">
        <v>0</v>
      </c>
      <c r="AF24" s="230">
        <v>0</v>
      </c>
      <c r="AG24" s="230"/>
    </row>
    <row r="25" spans="1:33" ht="13.5">
      <c r="A25" s="232" t="s">
        <v>202</v>
      </c>
      <c r="B25" s="228">
        <v>522</v>
      </c>
      <c r="C25" s="229">
        <f t="shared" si="3"/>
        <v>2347918</v>
      </c>
      <c r="D25" s="230">
        <v>2000</v>
      </c>
      <c r="E25" s="230">
        <v>1587270</v>
      </c>
      <c r="F25" s="230">
        <v>125490</v>
      </c>
      <c r="G25" s="230">
        <v>298001</v>
      </c>
      <c r="H25" s="230">
        <v>41366</v>
      </c>
      <c r="I25" s="230">
        <v>0</v>
      </c>
      <c r="J25" s="230">
        <v>0</v>
      </c>
      <c r="K25" s="230">
        <f>12208-4000+4000</f>
        <v>12208</v>
      </c>
      <c r="L25" s="230">
        <v>0</v>
      </c>
      <c r="M25" s="230"/>
      <c r="N25" s="230">
        <f>4700-700+700</f>
        <v>4700</v>
      </c>
      <c r="O25" s="230"/>
      <c r="P25" s="230">
        <v>64771</v>
      </c>
      <c r="Q25" s="230">
        <v>20000</v>
      </c>
      <c r="R25" s="230">
        <v>2400</v>
      </c>
      <c r="S25" s="230">
        <f>75940-1300+1300</f>
        <v>75940</v>
      </c>
      <c r="T25" s="230"/>
      <c r="U25" s="230">
        <v>2500</v>
      </c>
      <c r="V25" s="230">
        <v>0</v>
      </c>
      <c r="W25" s="230">
        <v>7000</v>
      </c>
      <c r="X25" s="230">
        <v>800</v>
      </c>
      <c r="Y25" s="230"/>
      <c r="Z25" s="230">
        <v>0</v>
      </c>
      <c r="AA25" s="230"/>
      <c r="AB25" s="230">
        <v>1500</v>
      </c>
      <c r="AC25" s="230">
        <v>97472</v>
      </c>
      <c r="AD25" s="230">
        <v>2500</v>
      </c>
      <c r="AE25" s="230">
        <v>2000</v>
      </c>
      <c r="AF25" s="230">
        <v>0</v>
      </c>
      <c r="AG25" s="230"/>
    </row>
    <row r="26" spans="1:33" ht="13.5">
      <c r="A26" s="232" t="s">
        <v>203</v>
      </c>
      <c r="B26" s="228">
        <v>413</v>
      </c>
      <c r="C26" s="229">
        <f t="shared" si="3"/>
        <v>1798017</v>
      </c>
      <c r="D26" s="230">
        <v>500</v>
      </c>
      <c r="E26" s="230">
        <v>1184530</v>
      </c>
      <c r="F26" s="230">
        <v>101150</v>
      </c>
      <c r="G26" s="230">
        <v>224862</v>
      </c>
      <c r="H26" s="230">
        <v>31213</v>
      </c>
      <c r="I26" s="230">
        <v>12000</v>
      </c>
      <c r="J26" s="230">
        <v>0</v>
      </c>
      <c r="K26" s="230">
        <v>13148</v>
      </c>
      <c r="L26" s="230">
        <v>0</v>
      </c>
      <c r="M26" s="230"/>
      <c r="N26" s="230">
        <v>1000</v>
      </c>
      <c r="O26" s="230"/>
      <c r="P26" s="230">
        <v>125661</v>
      </c>
      <c r="Q26" s="230">
        <v>4000</v>
      </c>
      <c r="R26" s="230">
        <v>1000</v>
      </c>
      <c r="S26" s="230">
        <v>15700</v>
      </c>
      <c r="T26" s="230"/>
      <c r="U26" s="230">
        <v>1000</v>
      </c>
      <c r="V26" s="230">
        <v>0</v>
      </c>
      <c r="W26" s="230">
        <v>3300</v>
      </c>
      <c r="X26" s="230">
        <v>0</v>
      </c>
      <c r="Y26" s="230"/>
      <c r="Z26" s="230">
        <v>0</v>
      </c>
      <c r="AA26" s="230"/>
      <c r="AB26" s="230">
        <v>0</v>
      </c>
      <c r="AC26" s="230">
        <v>78953</v>
      </c>
      <c r="AD26" s="230">
        <v>0</v>
      </c>
      <c r="AE26" s="230">
        <v>0</v>
      </c>
      <c r="AF26" s="230">
        <v>0</v>
      </c>
      <c r="AG26" s="230"/>
    </row>
    <row r="27" spans="1:33" ht="13.5">
      <c r="A27" s="232" t="s">
        <v>204</v>
      </c>
      <c r="B27" s="228">
        <v>283</v>
      </c>
      <c r="C27" s="229">
        <f t="shared" si="3"/>
        <v>1194508</v>
      </c>
      <c r="D27" s="230">
        <v>1000</v>
      </c>
      <c r="E27" s="230">
        <v>848818</v>
      </c>
      <c r="F27" s="230">
        <v>71484</v>
      </c>
      <c r="G27" s="230">
        <v>161580</v>
      </c>
      <c r="H27" s="230">
        <v>22429</v>
      </c>
      <c r="I27" s="230">
        <v>1000</v>
      </c>
      <c r="J27" s="230">
        <v>0</v>
      </c>
      <c r="K27" s="230">
        <v>5072</v>
      </c>
      <c r="L27" s="230">
        <v>0</v>
      </c>
      <c r="M27" s="230"/>
      <c r="N27" s="230">
        <v>2400</v>
      </c>
      <c r="O27" s="230"/>
      <c r="P27" s="230">
        <v>14071</v>
      </c>
      <c r="Q27" s="230">
        <v>300</v>
      </c>
      <c r="R27" s="230">
        <v>1100</v>
      </c>
      <c r="S27" s="230">
        <v>6000</v>
      </c>
      <c r="T27" s="230"/>
      <c r="U27" s="230">
        <v>700</v>
      </c>
      <c r="V27" s="230">
        <v>0</v>
      </c>
      <c r="W27" s="230">
        <v>900</v>
      </c>
      <c r="X27" s="230">
        <v>1500</v>
      </c>
      <c r="Y27" s="230"/>
      <c r="Z27" s="230">
        <v>0</v>
      </c>
      <c r="AA27" s="230"/>
      <c r="AB27" s="230">
        <v>1300</v>
      </c>
      <c r="AC27" s="230">
        <v>51354</v>
      </c>
      <c r="AD27" s="230">
        <v>1900</v>
      </c>
      <c r="AE27" s="230">
        <v>1600</v>
      </c>
      <c r="AF27" s="230">
        <v>0</v>
      </c>
      <c r="AG27" s="230"/>
    </row>
    <row r="28" spans="1:33" ht="13.5">
      <c r="A28" s="232" t="s">
        <v>205</v>
      </c>
      <c r="B28" s="228">
        <v>331</v>
      </c>
      <c r="C28" s="229">
        <f t="shared" si="3"/>
        <v>1855058</v>
      </c>
      <c r="D28" s="230">
        <f>1800-500</f>
        <v>1300</v>
      </c>
      <c r="E28" s="230">
        <v>1132401</v>
      </c>
      <c r="F28" s="230">
        <v>105369</v>
      </c>
      <c r="G28" s="230">
        <v>216341</v>
      </c>
      <c r="H28" s="230">
        <v>30030</v>
      </c>
      <c r="I28" s="230">
        <v>0</v>
      </c>
      <c r="J28" s="230">
        <v>0</v>
      </c>
      <c r="K28" s="230">
        <f>13000-3000</f>
        <v>10000</v>
      </c>
      <c r="L28" s="230">
        <v>0</v>
      </c>
      <c r="M28" s="230"/>
      <c r="N28" s="230">
        <v>2500</v>
      </c>
      <c r="O28" s="230"/>
      <c r="P28" s="230">
        <v>238661</v>
      </c>
      <c r="Q28" s="230">
        <f>2500+40000</f>
        <v>42500</v>
      </c>
      <c r="R28" s="230">
        <v>2500</v>
      </c>
      <c r="S28" s="230">
        <f>3920-2000</f>
        <v>1920</v>
      </c>
      <c r="T28" s="230"/>
      <c r="U28" s="230">
        <v>356</v>
      </c>
      <c r="V28" s="230">
        <v>0</v>
      </c>
      <c r="W28" s="230">
        <f>4800-2444</f>
        <v>2356</v>
      </c>
      <c r="X28" s="230">
        <v>400</v>
      </c>
      <c r="Y28" s="230"/>
      <c r="Z28" s="230">
        <v>0</v>
      </c>
      <c r="AA28" s="230"/>
      <c r="AB28" s="230">
        <v>0</v>
      </c>
      <c r="AC28" s="230">
        <v>68424</v>
      </c>
      <c r="AD28" s="230">
        <v>0</v>
      </c>
      <c r="AE28" s="230">
        <v>0</v>
      </c>
      <c r="AF28" s="230">
        <v>0</v>
      </c>
      <c r="AG28" s="230"/>
    </row>
    <row r="29" spans="1:33" ht="13.5">
      <c r="A29" s="232" t="s">
        <v>206</v>
      </c>
      <c r="B29" s="228">
        <v>549</v>
      </c>
      <c r="C29" s="229">
        <f t="shared" si="3"/>
        <v>2241944</v>
      </c>
      <c r="D29" s="230">
        <v>2500</v>
      </c>
      <c r="E29" s="230">
        <v>1528177</v>
      </c>
      <c r="F29" s="230">
        <v>126641</v>
      </c>
      <c r="G29" s="230">
        <v>290876</v>
      </c>
      <c r="H29" s="230">
        <v>40377</v>
      </c>
      <c r="I29" s="230">
        <v>0</v>
      </c>
      <c r="J29" s="230">
        <v>1000</v>
      </c>
      <c r="K29" s="230">
        <v>13928</v>
      </c>
      <c r="L29" s="230">
        <v>0</v>
      </c>
      <c r="M29" s="230">
        <v>2915</v>
      </c>
      <c r="N29" s="230">
        <v>4500</v>
      </c>
      <c r="O29" s="230"/>
      <c r="P29" s="230">
        <v>115023</v>
      </c>
      <c r="Q29" s="230">
        <v>0</v>
      </c>
      <c r="R29" s="230">
        <v>0</v>
      </c>
      <c r="S29" s="230">
        <v>12500</v>
      </c>
      <c r="T29" s="230">
        <v>2233</v>
      </c>
      <c r="U29" s="230">
        <v>1800</v>
      </c>
      <c r="V29" s="230">
        <v>0</v>
      </c>
      <c r="W29" s="230">
        <v>0</v>
      </c>
      <c r="X29" s="230">
        <v>1800</v>
      </c>
      <c r="Y29" s="230"/>
      <c r="Z29" s="230">
        <v>0</v>
      </c>
      <c r="AA29" s="230"/>
      <c r="AB29" s="230">
        <v>1500</v>
      </c>
      <c r="AC29" s="230">
        <v>96174</v>
      </c>
      <c r="AD29" s="230">
        <v>0</v>
      </c>
      <c r="AE29" s="230">
        <v>0</v>
      </c>
      <c r="AF29" s="230">
        <v>0</v>
      </c>
      <c r="AG29" s="230"/>
    </row>
    <row r="30" spans="1:33" ht="13.5">
      <c r="A30" s="232" t="s">
        <v>207</v>
      </c>
      <c r="B30" s="228">
        <v>315</v>
      </c>
      <c r="C30" s="229">
        <f t="shared" si="3"/>
        <v>721021</v>
      </c>
      <c r="D30" s="230">
        <v>1000</v>
      </c>
      <c r="E30" s="230">
        <v>496631</v>
      </c>
      <c r="F30" s="230">
        <v>36950</v>
      </c>
      <c r="G30" s="230">
        <v>94020</v>
      </c>
      <c r="H30" s="230">
        <v>13051</v>
      </c>
      <c r="I30" s="230">
        <v>0</v>
      </c>
      <c r="J30" s="230">
        <v>0</v>
      </c>
      <c r="K30" s="230">
        <v>5200</v>
      </c>
      <c r="L30" s="230">
        <v>0</v>
      </c>
      <c r="M30" s="230"/>
      <c r="N30" s="230">
        <v>500</v>
      </c>
      <c r="O30" s="230"/>
      <c r="P30" s="230">
        <v>18502</v>
      </c>
      <c r="Q30" s="230">
        <v>0</v>
      </c>
      <c r="R30" s="230">
        <v>1000</v>
      </c>
      <c r="S30" s="230">
        <v>10820</v>
      </c>
      <c r="T30" s="230"/>
      <c r="U30" s="230">
        <v>720</v>
      </c>
      <c r="V30" s="230">
        <v>0</v>
      </c>
      <c r="W30" s="230">
        <v>6000</v>
      </c>
      <c r="X30" s="230">
        <v>0</v>
      </c>
      <c r="Y30" s="230"/>
      <c r="Z30" s="230">
        <v>0</v>
      </c>
      <c r="AA30" s="230"/>
      <c r="AB30" s="230">
        <v>0</v>
      </c>
      <c r="AC30" s="230">
        <v>31627</v>
      </c>
      <c r="AD30" s="230">
        <v>5000</v>
      </c>
      <c r="AE30" s="230">
        <v>0</v>
      </c>
      <c r="AF30" s="230">
        <v>0</v>
      </c>
      <c r="AG30" s="230"/>
    </row>
    <row r="31" spans="1:33" ht="13.5">
      <c r="A31" s="232" t="s">
        <v>78</v>
      </c>
      <c r="B31" s="228"/>
      <c r="C31" s="229">
        <f t="shared" si="3"/>
        <v>79000</v>
      </c>
      <c r="D31" s="230"/>
      <c r="E31" s="230">
        <v>79000</v>
      </c>
      <c r="F31" s="230"/>
      <c r="G31" s="230">
        <v>0</v>
      </c>
      <c r="H31" s="230">
        <v>0</v>
      </c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</row>
    <row r="32" spans="1:33" ht="34.5" hidden="1">
      <c r="A32" s="232" t="s">
        <v>208</v>
      </c>
      <c r="B32" s="228"/>
      <c r="C32" s="229">
        <f t="shared" si="3"/>
        <v>0</v>
      </c>
      <c r="D32" s="230"/>
      <c r="E32" s="230"/>
      <c r="F32" s="230"/>
      <c r="G32" s="230">
        <v>0</v>
      </c>
      <c r="H32" s="230">
        <v>0</v>
      </c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</row>
    <row r="33" spans="1:33" ht="13.5" hidden="1">
      <c r="A33" s="232" t="s">
        <v>209</v>
      </c>
      <c r="B33" s="228"/>
      <c r="C33" s="229">
        <f t="shared" si="3"/>
        <v>0</v>
      </c>
      <c r="D33" s="230"/>
      <c r="E33" s="230"/>
      <c r="F33" s="230"/>
      <c r="G33" s="230">
        <v>0</v>
      </c>
      <c r="H33" s="230">
        <v>0</v>
      </c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1:33" ht="13.5">
      <c r="A34" s="232" t="s">
        <v>210</v>
      </c>
      <c r="B34" s="228"/>
      <c r="C34" s="229">
        <f t="shared" si="3"/>
        <v>1005000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>
        <v>5000</v>
      </c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>
        <v>1000000</v>
      </c>
    </row>
    <row r="35" spans="1:33" ht="23.25">
      <c r="A35" s="232" t="s">
        <v>211</v>
      </c>
      <c r="B35" s="228"/>
      <c r="C35" s="235">
        <v>3534276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</row>
    <row r="36" spans="1:33" ht="22.5">
      <c r="A36" s="233" t="s">
        <v>212</v>
      </c>
      <c r="B36" s="234">
        <f>SUM(B17:B33)</f>
        <v>6253</v>
      </c>
      <c r="C36" s="237">
        <f>SUM(C17:C35)</f>
        <v>34741100</v>
      </c>
      <c r="D36" s="234">
        <f>SUM(D17:D35)</f>
        <v>37370</v>
      </c>
      <c r="E36" s="234">
        <f>SUM(E17:E35)</f>
        <v>20284979</v>
      </c>
      <c r="F36" s="234">
        <f>SUM(F17:F35)</f>
        <v>1644878</v>
      </c>
      <c r="G36" s="234">
        <v>3821297</v>
      </c>
      <c r="H36" s="234">
        <v>530437</v>
      </c>
      <c r="I36" s="234">
        <f aca="true" t="shared" si="4" ref="I36:AG36">SUM(I17:I35)</f>
        <v>29000</v>
      </c>
      <c r="J36" s="234">
        <f t="shared" si="4"/>
        <v>42000</v>
      </c>
      <c r="K36" s="234">
        <f t="shared" si="4"/>
        <v>272952</v>
      </c>
      <c r="L36" s="234">
        <f t="shared" si="4"/>
        <v>0</v>
      </c>
      <c r="M36" s="234">
        <f t="shared" si="4"/>
        <v>5314</v>
      </c>
      <c r="N36" s="234">
        <f t="shared" si="4"/>
        <v>24800</v>
      </c>
      <c r="O36" s="234">
        <f t="shared" si="4"/>
        <v>0</v>
      </c>
      <c r="P36" s="234">
        <f t="shared" si="4"/>
        <v>1476796</v>
      </c>
      <c r="Q36" s="234">
        <f t="shared" si="4"/>
        <v>209240</v>
      </c>
      <c r="R36" s="234">
        <f t="shared" si="4"/>
        <v>29870</v>
      </c>
      <c r="S36" s="234">
        <f t="shared" si="4"/>
        <v>331372</v>
      </c>
      <c r="T36" s="234">
        <f t="shared" si="4"/>
        <v>3733</v>
      </c>
      <c r="U36" s="234">
        <f t="shared" si="4"/>
        <v>13992</v>
      </c>
      <c r="V36" s="234">
        <f t="shared" si="4"/>
        <v>0</v>
      </c>
      <c r="W36" s="234">
        <f t="shared" si="4"/>
        <v>40736</v>
      </c>
      <c r="X36" s="234">
        <f t="shared" si="4"/>
        <v>9664</v>
      </c>
      <c r="Y36" s="234">
        <f t="shared" si="4"/>
        <v>13464</v>
      </c>
      <c r="Z36" s="234">
        <f t="shared" si="4"/>
        <v>0</v>
      </c>
      <c r="AA36" s="234">
        <f t="shared" si="4"/>
        <v>0</v>
      </c>
      <c r="AB36" s="234">
        <f t="shared" si="4"/>
        <v>12800</v>
      </c>
      <c r="AC36" s="234">
        <f t="shared" si="4"/>
        <v>1207106</v>
      </c>
      <c r="AD36" s="234">
        <f t="shared" si="4"/>
        <v>16300</v>
      </c>
      <c r="AE36" s="234">
        <f t="shared" si="4"/>
        <v>8724</v>
      </c>
      <c r="AF36" s="234">
        <f t="shared" si="4"/>
        <v>0</v>
      </c>
      <c r="AG36" s="234">
        <f t="shared" si="4"/>
        <v>1140000</v>
      </c>
    </row>
    <row r="37" spans="1:33" ht="23.25">
      <c r="A37" s="232" t="s">
        <v>213</v>
      </c>
      <c r="B37" s="228">
        <v>133</v>
      </c>
      <c r="C37" s="229">
        <f aca="true" t="shared" si="5" ref="C37:C43">SUM(D37:AG37)</f>
        <v>722035</v>
      </c>
      <c r="D37" s="230">
        <v>1000</v>
      </c>
      <c r="E37" s="230">
        <f>502965-15000</f>
        <v>487965</v>
      </c>
      <c r="F37" s="230">
        <v>41866</v>
      </c>
      <c r="G37" s="230">
        <v>94729</v>
      </c>
      <c r="H37" s="230">
        <v>13149</v>
      </c>
      <c r="I37" s="230">
        <v>0</v>
      </c>
      <c r="J37" s="230">
        <v>500</v>
      </c>
      <c r="K37" s="230">
        <v>3372</v>
      </c>
      <c r="L37" s="230">
        <v>0</v>
      </c>
      <c r="M37" s="230"/>
      <c r="N37" s="230">
        <v>1200</v>
      </c>
      <c r="O37" s="230"/>
      <c r="P37" s="230">
        <v>41486</v>
      </c>
      <c r="Q37" s="230">
        <v>1100</v>
      </c>
      <c r="R37" s="230">
        <v>600</v>
      </c>
      <c r="S37" s="230">
        <v>2400</v>
      </c>
      <c r="T37" s="230"/>
      <c r="U37" s="230">
        <v>500</v>
      </c>
      <c r="V37" s="230">
        <v>0</v>
      </c>
      <c r="W37" s="230">
        <v>0</v>
      </c>
      <c r="X37" s="230">
        <v>500</v>
      </c>
      <c r="Y37" s="230"/>
      <c r="Z37" s="230">
        <v>0</v>
      </c>
      <c r="AA37" s="230"/>
      <c r="AB37" s="230">
        <v>0</v>
      </c>
      <c r="AC37" s="230">
        <v>31668</v>
      </c>
      <c r="AD37" s="230">
        <v>0</v>
      </c>
      <c r="AE37" s="230">
        <v>0</v>
      </c>
      <c r="AF37" s="230">
        <v>0</v>
      </c>
      <c r="AG37" s="230"/>
    </row>
    <row r="38" spans="1:33" ht="23.25">
      <c r="A38" s="232" t="s">
        <v>214</v>
      </c>
      <c r="B38" s="228">
        <v>61</v>
      </c>
      <c r="C38" s="229">
        <f t="shared" si="5"/>
        <v>282495</v>
      </c>
      <c r="D38" s="230">
        <v>500</v>
      </c>
      <c r="E38" s="230">
        <f>185283-5000</f>
        <v>180283</v>
      </c>
      <c r="F38" s="230">
        <v>30023</v>
      </c>
      <c r="G38" s="230">
        <v>37543</v>
      </c>
      <c r="H38" s="230">
        <v>5211</v>
      </c>
      <c r="I38" s="230">
        <v>0</v>
      </c>
      <c r="J38" s="230">
        <v>0</v>
      </c>
      <c r="K38" s="230">
        <v>1000</v>
      </c>
      <c r="L38" s="230">
        <v>0</v>
      </c>
      <c r="M38" s="230"/>
      <c r="N38" s="230">
        <v>1000</v>
      </c>
      <c r="O38" s="230"/>
      <c r="P38" s="230">
        <v>13000</v>
      </c>
      <c r="Q38" s="230">
        <v>0</v>
      </c>
      <c r="R38" s="230">
        <v>0</v>
      </c>
      <c r="S38" s="230">
        <v>1000</v>
      </c>
      <c r="T38" s="230"/>
      <c r="U38" s="230">
        <v>0</v>
      </c>
      <c r="V38" s="230">
        <v>0</v>
      </c>
      <c r="W38" s="230">
        <v>1000</v>
      </c>
      <c r="X38" s="230">
        <v>392</v>
      </c>
      <c r="Y38" s="230"/>
      <c r="Z38" s="230">
        <v>0</v>
      </c>
      <c r="AA38" s="230"/>
      <c r="AB38" s="230">
        <v>0</v>
      </c>
      <c r="AC38" s="230">
        <v>11543</v>
      </c>
      <c r="AD38" s="230">
        <v>0</v>
      </c>
      <c r="AE38" s="230">
        <v>0</v>
      </c>
      <c r="AF38" s="230">
        <v>0</v>
      </c>
      <c r="AG38" s="230"/>
    </row>
    <row r="39" spans="1:33" ht="23.25">
      <c r="A39" s="232" t="s">
        <v>215</v>
      </c>
      <c r="B39" s="228">
        <v>23</v>
      </c>
      <c r="C39" s="229">
        <f t="shared" si="5"/>
        <v>87267</v>
      </c>
      <c r="D39" s="230">
        <v>200</v>
      </c>
      <c r="E39" s="230">
        <v>49412</v>
      </c>
      <c r="F39" s="230">
        <v>16728</v>
      </c>
      <c r="G39" s="230">
        <v>10714</v>
      </c>
      <c r="H39" s="230">
        <v>1487</v>
      </c>
      <c r="I39" s="230">
        <v>0</v>
      </c>
      <c r="J39" s="230">
        <v>0</v>
      </c>
      <c r="K39" s="230">
        <v>840</v>
      </c>
      <c r="L39" s="230">
        <v>0</v>
      </c>
      <c r="M39" s="230"/>
      <c r="N39" s="230">
        <v>0</v>
      </c>
      <c r="O39" s="230"/>
      <c r="P39" s="230">
        <v>3200</v>
      </c>
      <c r="Q39" s="230">
        <v>0</v>
      </c>
      <c r="R39" s="230">
        <v>0</v>
      </c>
      <c r="S39" s="230">
        <v>500</v>
      </c>
      <c r="T39" s="230"/>
      <c r="U39" s="230">
        <v>0</v>
      </c>
      <c r="V39" s="230">
        <v>0</v>
      </c>
      <c r="W39" s="230">
        <v>0</v>
      </c>
      <c r="X39" s="230">
        <v>0</v>
      </c>
      <c r="Y39" s="230"/>
      <c r="Z39" s="230">
        <v>0</v>
      </c>
      <c r="AA39" s="230"/>
      <c r="AB39" s="230">
        <f>300-184</f>
        <v>116</v>
      </c>
      <c r="AC39" s="230">
        <v>4070</v>
      </c>
      <c r="AD39" s="230">
        <v>0</v>
      </c>
      <c r="AE39" s="230">
        <v>0</v>
      </c>
      <c r="AF39" s="230">
        <v>0</v>
      </c>
      <c r="AG39" s="230"/>
    </row>
    <row r="40" spans="1:33" ht="13.5">
      <c r="A40" s="232" t="s">
        <v>216</v>
      </c>
      <c r="B40" s="228">
        <v>17</v>
      </c>
      <c r="C40" s="229">
        <f t="shared" si="5"/>
        <v>74555</v>
      </c>
      <c r="D40" s="230">
        <v>100</v>
      </c>
      <c r="E40" s="230">
        <v>36972</v>
      </c>
      <c r="F40" s="230">
        <v>7813</v>
      </c>
      <c r="G40" s="230">
        <v>7905</v>
      </c>
      <c r="H40" s="230">
        <v>1097</v>
      </c>
      <c r="I40" s="230">
        <v>100</v>
      </c>
      <c r="J40" s="230">
        <v>0</v>
      </c>
      <c r="K40" s="230">
        <v>300</v>
      </c>
      <c r="L40" s="230">
        <v>0</v>
      </c>
      <c r="M40" s="230"/>
      <c r="N40" s="230">
        <v>200</v>
      </c>
      <c r="O40" s="230"/>
      <c r="P40" s="230">
        <v>15068</v>
      </c>
      <c r="Q40" s="230">
        <v>0</v>
      </c>
      <c r="R40" s="230">
        <v>150</v>
      </c>
      <c r="S40" s="230">
        <v>278</v>
      </c>
      <c r="T40" s="230"/>
      <c r="U40" s="230">
        <v>0</v>
      </c>
      <c r="V40" s="230">
        <v>0</v>
      </c>
      <c r="W40" s="230">
        <v>200</v>
      </c>
      <c r="X40" s="230">
        <v>100</v>
      </c>
      <c r="Y40" s="230"/>
      <c r="Z40" s="230">
        <v>0</v>
      </c>
      <c r="AA40" s="230"/>
      <c r="AB40" s="230">
        <v>0</v>
      </c>
      <c r="AC40" s="230">
        <v>4172</v>
      </c>
      <c r="AD40" s="230">
        <v>100</v>
      </c>
      <c r="AE40" s="230">
        <v>0</v>
      </c>
      <c r="AF40" s="230">
        <v>0</v>
      </c>
      <c r="AG40" s="230"/>
    </row>
    <row r="41" spans="1:33" ht="13.5">
      <c r="A41" s="232" t="s">
        <v>217</v>
      </c>
      <c r="B41" s="228">
        <v>343</v>
      </c>
      <c r="C41" s="229">
        <f t="shared" si="5"/>
        <v>1892108</v>
      </c>
      <c r="D41" s="230">
        <v>0</v>
      </c>
      <c r="E41" s="230">
        <f>1277757-21649</f>
        <v>1256108</v>
      </c>
      <c r="F41" s="230">
        <v>96770</v>
      </c>
      <c r="G41" s="230">
        <v>238106</v>
      </c>
      <c r="H41" s="230">
        <v>33052</v>
      </c>
      <c r="I41" s="230">
        <v>7740</v>
      </c>
      <c r="J41" s="230">
        <v>0</v>
      </c>
      <c r="K41" s="230">
        <v>6200</v>
      </c>
      <c r="L41" s="230">
        <v>0</v>
      </c>
      <c r="M41" s="230"/>
      <c r="N41" s="230">
        <v>1500</v>
      </c>
      <c r="O41" s="230"/>
      <c r="P41" s="230">
        <v>160300</v>
      </c>
      <c r="Q41" s="230">
        <v>0</v>
      </c>
      <c r="R41" s="230">
        <v>0</v>
      </c>
      <c r="S41" s="230">
        <v>3990</v>
      </c>
      <c r="T41" s="230"/>
      <c r="U41" s="230">
        <v>7320</v>
      </c>
      <c r="V41" s="230">
        <v>0</v>
      </c>
      <c r="W41" s="230">
        <v>4002</v>
      </c>
      <c r="X41" s="230">
        <v>0</v>
      </c>
      <c r="Y41" s="230"/>
      <c r="Z41" s="230">
        <v>0</v>
      </c>
      <c r="AA41" s="230"/>
      <c r="AB41" s="230">
        <v>0</v>
      </c>
      <c r="AC41" s="230">
        <v>71220</v>
      </c>
      <c r="AD41" s="230">
        <v>2300</v>
      </c>
      <c r="AE41" s="230">
        <v>3500</v>
      </c>
      <c r="AF41" s="230">
        <v>0</v>
      </c>
      <c r="AG41" s="230"/>
    </row>
    <row r="42" spans="1:33" ht="23.25">
      <c r="A42" s="232" t="s">
        <v>218</v>
      </c>
      <c r="B42" s="228">
        <v>80</v>
      </c>
      <c r="C42" s="229">
        <f t="shared" si="5"/>
        <v>280333</v>
      </c>
      <c r="D42" s="230">
        <v>1000</v>
      </c>
      <c r="E42" s="230">
        <v>189060</v>
      </c>
      <c r="F42" s="230">
        <v>13061</v>
      </c>
      <c r="G42" s="230">
        <v>35674</v>
      </c>
      <c r="H42" s="230">
        <v>4952</v>
      </c>
      <c r="I42" s="230">
        <v>2000</v>
      </c>
      <c r="J42" s="230">
        <v>0</v>
      </c>
      <c r="K42" s="230">
        <v>2000</v>
      </c>
      <c r="L42" s="230">
        <v>0</v>
      </c>
      <c r="M42" s="230"/>
      <c r="N42" s="230">
        <v>1000</v>
      </c>
      <c r="O42" s="230"/>
      <c r="P42" s="230">
        <v>13700</v>
      </c>
      <c r="Q42" s="230">
        <v>2720</v>
      </c>
      <c r="R42" s="230">
        <v>0</v>
      </c>
      <c r="S42" s="230">
        <v>0</v>
      </c>
      <c r="T42" s="230"/>
      <c r="U42" s="230">
        <v>0</v>
      </c>
      <c r="V42" s="230">
        <v>0</v>
      </c>
      <c r="W42" s="230">
        <v>0</v>
      </c>
      <c r="X42" s="230">
        <v>0</v>
      </c>
      <c r="Y42" s="230"/>
      <c r="Z42" s="230">
        <v>0</v>
      </c>
      <c r="AA42" s="230"/>
      <c r="AB42" s="230">
        <v>0</v>
      </c>
      <c r="AC42" s="230">
        <v>15166</v>
      </c>
      <c r="AD42" s="230">
        <v>0</v>
      </c>
      <c r="AE42" s="230">
        <v>0</v>
      </c>
      <c r="AF42" s="230">
        <v>0</v>
      </c>
      <c r="AG42" s="230"/>
    </row>
    <row r="43" spans="1:33" ht="13.5">
      <c r="A43" s="232" t="s">
        <v>219</v>
      </c>
      <c r="B43" s="228">
        <v>93</v>
      </c>
      <c r="C43" s="229">
        <f t="shared" si="5"/>
        <v>203135</v>
      </c>
      <c r="D43" s="230">
        <v>400</v>
      </c>
      <c r="E43" s="230">
        <v>132726</v>
      </c>
      <c r="F43" s="230">
        <v>12633</v>
      </c>
      <c r="G43" s="230">
        <v>25656</v>
      </c>
      <c r="H43" s="230">
        <v>3561</v>
      </c>
      <c r="I43" s="230">
        <v>0</v>
      </c>
      <c r="J43" s="230">
        <v>0</v>
      </c>
      <c r="K43" s="230">
        <v>4558</v>
      </c>
      <c r="L43" s="230">
        <v>0</v>
      </c>
      <c r="M43" s="230"/>
      <c r="N43" s="230">
        <v>600</v>
      </c>
      <c r="O43" s="230"/>
      <c r="P43" s="230">
        <v>10921</v>
      </c>
      <c r="Q43" s="230">
        <v>0</v>
      </c>
      <c r="R43" s="230">
        <v>0</v>
      </c>
      <c r="S43" s="230">
        <v>1000</v>
      </c>
      <c r="T43" s="230"/>
      <c r="U43" s="230">
        <v>0</v>
      </c>
      <c r="V43" s="230">
        <v>0</v>
      </c>
      <c r="W43" s="230">
        <v>2370</v>
      </c>
      <c r="X43" s="230">
        <v>0</v>
      </c>
      <c r="Y43" s="230"/>
      <c r="Z43" s="230">
        <v>0</v>
      </c>
      <c r="AA43" s="230"/>
      <c r="AB43" s="230">
        <v>0</v>
      </c>
      <c r="AC43" s="230">
        <v>8710</v>
      </c>
      <c r="AD43" s="230">
        <v>0</v>
      </c>
      <c r="AE43" s="230">
        <v>0</v>
      </c>
      <c r="AF43" s="230">
        <v>0</v>
      </c>
      <c r="AG43" s="230"/>
    </row>
    <row r="44" spans="1:33" ht="13.5" hidden="1">
      <c r="A44" s="232" t="s">
        <v>209</v>
      </c>
      <c r="B44" s="228"/>
      <c r="C44" s="235"/>
      <c r="D44" s="230"/>
      <c r="E44" s="230"/>
      <c r="F44" s="230"/>
      <c r="G44" s="230">
        <v>0</v>
      </c>
      <c r="H44" s="230">
        <v>0</v>
      </c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</row>
    <row r="45" spans="1:33" ht="23.25">
      <c r="A45" s="232" t="s">
        <v>211</v>
      </c>
      <c r="B45" s="228"/>
      <c r="C45" s="235">
        <v>176088</v>
      </c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</row>
    <row r="46" spans="1:33" ht="22.5">
      <c r="A46" s="233" t="s">
        <v>220</v>
      </c>
      <c r="B46" s="234">
        <f>SUM(B37:B43)</f>
        <v>750</v>
      </c>
      <c r="C46" s="237">
        <f>SUM(C37:C45)</f>
        <v>3718016</v>
      </c>
      <c r="D46" s="234">
        <f>SUM(D37:D44)</f>
        <v>3200</v>
      </c>
      <c r="E46" s="234">
        <f>SUM(E37:E44)</f>
        <v>2332526</v>
      </c>
      <c r="F46" s="234">
        <f>SUM(F37:F44)</f>
        <v>218894</v>
      </c>
      <c r="G46" s="234">
        <v>450327</v>
      </c>
      <c r="H46" s="234">
        <v>62509</v>
      </c>
      <c r="I46" s="234">
        <f aca="true" t="shared" si="6" ref="I46:AG46">SUM(I37:I44)</f>
        <v>9840</v>
      </c>
      <c r="J46" s="234">
        <f t="shared" si="6"/>
        <v>500</v>
      </c>
      <c r="K46" s="234">
        <f t="shared" si="6"/>
        <v>18270</v>
      </c>
      <c r="L46" s="234">
        <f t="shared" si="6"/>
        <v>0</v>
      </c>
      <c r="M46" s="234">
        <f t="shared" si="6"/>
        <v>0</v>
      </c>
      <c r="N46" s="234">
        <f t="shared" si="6"/>
        <v>5500</v>
      </c>
      <c r="O46" s="234">
        <f t="shared" si="6"/>
        <v>0</v>
      </c>
      <c r="P46" s="234">
        <f t="shared" si="6"/>
        <v>257675</v>
      </c>
      <c r="Q46" s="234">
        <f t="shared" si="6"/>
        <v>3820</v>
      </c>
      <c r="R46" s="234">
        <f t="shared" si="6"/>
        <v>750</v>
      </c>
      <c r="S46" s="234">
        <f t="shared" si="6"/>
        <v>9168</v>
      </c>
      <c r="T46" s="234">
        <f t="shared" si="6"/>
        <v>0</v>
      </c>
      <c r="U46" s="234">
        <f t="shared" si="6"/>
        <v>7820</v>
      </c>
      <c r="V46" s="234">
        <f t="shared" si="6"/>
        <v>0</v>
      </c>
      <c r="W46" s="234">
        <f t="shared" si="6"/>
        <v>7572</v>
      </c>
      <c r="X46" s="234">
        <f t="shared" si="6"/>
        <v>992</v>
      </c>
      <c r="Y46" s="234">
        <f t="shared" si="6"/>
        <v>0</v>
      </c>
      <c r="Z46" s="234">
        <f t="shared" si="6"/>
        <v>0</v>
      </c>
      <c r="AA46" s="234">
        <f t="shared" si="6"/>
        <v>0</v>
      </c>
      <c r="AB46" s="234">
        <f t="shared" si="6"/>
        <v>116</v>
      </c>
      <c r="AC46" s="234">
        <f t="shared" si="6"/>
        <v>146549</v>
      </c>
      <c r="AD46" s="234">
        <f t="shared" si="6"/>
        <v>2400</v>
      </c>
      <c r="AE46" s="234">
        <f t="shared" si="6"/>
        <v>3500</v>
      </c>
      <c r="AF46" s="234">
        <f t="shared" si="6"/>
        <v>0</v>
      </c>
      <c r="AG46" s="234">
        <f t="shared" si="6"/>
        <v>0</v>
      </c>
    </row>
    <row r="47" spans="1:33" ht="23.25">
      <c r="A47" s="232" t="s">
        <v>213</v>
      </c>
      <c r="B47" s="228">
        <v>537</v>
      </c>
      <c r="C47" s="229">
        <f aca="true" t="shared" si="7" ref="C47:C57">SUM(D47:AG47)</f>
        <v>2524571</v>
      </c>
      <c r="D47" s="230">
        <v>3500</v>
      </c>
      <c r="E47" s="230">
        <f>1649285-20000</f>
        <v>1629285</v>
      </c>
      <c r="F47" s="230">
        <v>132960</v>
      </c>
      <c r="G47" s="230">
        <v>312523</v>
      </c>
      <c r="H47" s="230">
        <v>43381</v>
      </c>
      <c r="I47" s="230">
        <v>7200</v>
      </c>
      <c r="J47" s="230">
        <v>1000</v>
      </c>
      <c r="K47" s="230">
        <v>12000</v>
      </c>
      <c r="L47" s="230">
        <v>0</v>
      </c>
      <c r="M47" s="230"/>
      <c r="N47" s="230">
        <v>4000</v>
      </c>
      <c r="O47" s="230"/>
      <c r="P47" s="230">
        <v>143265</v>
      </c>
      <c r="Q47" s="230">
        <f>5000+3000+100000</f>
        <v>108000</v>
      </c>
      <c r="R47" s="230">
        <v>2000</v>
      </c>
      <c r="S47" s="230">
        <v>14948</v>
      </c>
      <c r="T47" s="230"/>
      <c r="U47" s="230">
        <v>1160</v>
      </c>
      <c r="V47" s="230">
        <v>0</v>
      </c>
      <c r="W47" s="230">
        <v>0</v>
      </c>
      <c r="X47" s="230">
        <v>1000</v>
      </c>
      <c r="Y47" s="230"/>
      <c r="Z47" s="230">
        <v>0</v>
      </c>
      <c r="AA47" s="230"/>
      <c r="AB47" s="230">
        <v>0</v>
      </c>
      <c r="AC47" s="230">
        <v>107849</v>
      </c>
      <c r="AD47" s="230">
        <v>500</v>
      </c>
      <c r="AE47" s="230">
        <v>0</v>
      </c>
      <c r="AF47" s="230">
        <v>0</v>
      </c>
      <c r="AG47" s="230"/>
    </row>
    <row r="48" spans="1:33" ht="13.5">
      <c r="A48" s="232" t="s">
        <v>221</v>
      </c>
      <c r="B48" s="228">
        <v>408</v>
      </c>
      <c r="C48" s="229">
        <f t="shared" si="7"/>
        <v>1516943</v>
      </c>
      <c r="D48" s="230">
        <v>3676</v>
      </c>
      <c r="E48" s="230">
        <f>1051761-20000</f>
        <v>1031761</v>
      </c>
      <c r="F48" s="230">
        <v>87584</v>
      </c>
      <c r="G48" s="230">
        <v>198605</v>
      </c>
      <c r="H48" s="230">
        <v>27568</v>
      </c>
      <c r="I48" s="230">
        <v>0</v>
      </c>
      <c r="J48" s="230">
        <v>0</v>
      </c>
      <c r="K48" s="230">
        <v>12025</v>
      </c>
      <c r="L48" s="230">
        <v>0</v>
      </c>
      <c r="M48" s="230"/>
      <c r="N48" s="230">
        <v>3000</v>
      </c>
      <c r="O48" s="230"/>
      <c r="P48" s="230">
        <v>48823</v>
      </c>
      <c r="Q48" s="230">
        <v>0</v>
      </c>
      <c r="R48" s="230">
        <v>2000</v>
      </c>
      <c r="S48" s="230">
        <v>35179</v>
      </c>
      <c r="T48" s="230"/>
      <c r="U48" s="230">
        <v>2000</v>
      </c>
      <c r="V48" s="230">
        <v>0</v>
      </c>
      <c r="W48" s="230">
        <v>4400</v>
      </c>
      <c r="X48" s="230">
        <v>0</v>
      </c>
      <c r="Y48" s="230"/>
      <c r="Z48" s="230">
        <v>0</v>
      </c>
      <c r="AA48" s="230"/>
      <c r="AB48" s="230">
        <v>0</v>
      </c>
      <c r="AC48" s="230">
        <v>60322</v>
      </c>
      <c r="AD48" s="230">
        <v>0</v>
      </c>
      <c r="AE48" s="230">
        <v>0</v>
      </c>
      <c r="AF48" s="230">
        <v>0</v>
      </c>
      <c r="AG48" s="230"/>
    </row>
    <row r="49" spans="1:33" ht="23.25">
      <c r="A49" s="232" t="s">
        <v>214</v>
      </c>
      <c r="B49" s="228">
        <v>665</v>
      </c>
      <c r="C49" s="229">
        <f t="shared" si="7"/>
        <v>3499054</v>
      </c>
      <c r="D49" s="230">
        <v>7500</v>
      </c>
      <c r="E49" s="230">
        <f>2295378-20000</f>
        <v>2275378</v>
      </c>
      <c r="F49" s="230">
        <v>189460</v>
      </c>
      <c r="G49" s="230">
        <v>434426</v>
      </c>
      <c r="H49" s="230">
        <v>60303</v>
      </c>
      <c r="I49" s="230">
        <v>0</v>
      </c>
      <c r="J49" s="230">
        <v>0</v>
      </c>
      <c r="K49" s="230">
        <f>25380-7500</f>
        <v>17880</v>
      </c>
      <c r="L49" s="230">
        <v>0</v>
      </c>
      <c r="M49" s="230">
        <v>2970</v>
      </c>
      <c r="N49" s="230">
        <f>62000+4000</f>
        <v>66000</v>
      </c>
      <c r="O49" s="230">
        <v>396</v>
      </c>
      <c r="P49" s="230">
        <v>268700</v>
      </c>
      <c r="Q49" s="230">
        <v>0</v>
      </c>
      <c r="R49" s="230">
        <v>2000</v>
      </c>
      <c r="S49" s="230">
        <v>21000</v>
      </c>
      <c r="T49" s="230"/>
      <c r="U49" s="230">
        <v>3500</v>
      </c>
      <c r="V49" s="230">
        <v>1000</v>
      </c>
      <c r="W49" s="230">
        <v>5000</v>
      </c>
      <c r="X49" s="230">
        <v>1000</v>
      </c>
      <c r="Y49" s="230">
        <v>1663</v>
      </c>
      <c r="Z49" s="230">
        <v>0</v>
      </c>
      <c r="AA49" s="230"/>
      <c r="AB49" s="230">
        <v>0</v>
      </c>
      <c r="AC49" s="230">
        <v>140878</v>
      </c>
      <c r="AD49" s="230">
        <v>0</v>
      </c>
      <c r="AE49" s="230">
        <v>0</v>
      </c>
      <c r="AF49" s="230">
        <v>0</v>
      </c>
      <c r="AG49" s="230"/>
    </row>
    <row r="50" spans="1:33" ht="23.25">
      <c r="A50" s="232" t="s">
        <v>215</v>
      </c>
      <c r="B50" s="228">
        <v>718</v>
      </c>
      <c r="C50" s="229">
        <f t="shared" si="7"/>
        <v>3600465</v>
      </c>
      <c r="D50" s="230">
        <v>8000</v>
      </c>
      <c r="E50" s="230">
        <f>2508875-33716-10000</f>
        <v>2465159</v>
      </c>
      <c r="F50" s="230">
        <v>176829</v>
      </c>
      <c r="G50" s="230">
        <v>465886</v>
      </c>
      <c r="H50" s="230">
        <v>64670</v>
      </c>
      <c r="I50" s="230">
        <v>22420</v>
      </c>
      <c r="J50" s="230">
        <v>0</v>
      </c>
      <c r="K50" s="230">
        <v>10843</v>
      </c>
      <c r="L50" s="230">
        <v>0</v>
      </c>
      <c r="M50" s="230"/>
      <c r="N50" s="230">
        <v>1500</v>
      </c>
      <c r="O50" s="230"/>
      <c r="P50" s="230">
        <v>119970</v>
      </c>
      <c r="Q50" s="230">
        <v>80000</v>
      </c>
      <c r="R50" s="230">
        <v>1500</v>
      </c>
      <c r="S50" s="230">
        <v>13200</v>
      </c>
      <c r="T50" s="230"/>
      <c r="U50" s="230">
        <v>3353</v>
      </c>
      <c r="V50" s="230">
        <v>0</v>
      </c>
      <c r="W50" s="230">
        <v>6500</v>
      </c>
      <c r="X50" s="230">
        <v>1000</v>
      </c>
      <c r="Y50" s="230"/>
      <c r="Z50" s="230">
        <v>0</v>
      </c>
      <c r="AA50" s="230"/>
      <c r="AB50" s="230">
        <v>2800</v>
      </c>
      <c r="AC50" s="230">
        <v>153835</v>
      </c>
      <c r="AD50" s="230">
        <v>2000</v>
      </c>
      <c r="AE50" s="230">
        <v>1000</v>
      </c>
      <c r="AF50" s="230">
        <v>0</v>
      </c>
      <c r="AG50" s="230"/>
    </row>
    <row r="51" spans="1:33" ht="13.5">
      <c r="A51" s="232" t="s">
        <v>216</v>
      </c>
      <c r="B51" s="228">
        <v>392</v>
      </c>
      <c r="C51" s="229">
        <f t="shared" si="7"/>
        <v>2285252</v>
      </c>
      <c r="D51" s="230">
        <v>2500</v>
      </c>
      <c r="E51" s="230">
        <f>1400450-20000</f>
        <v>1380450</v>
      </c>
      <c r="F51" s="230">
        <v>115121</v>
      </c>
      <c r="G51" s="230">
        <v>264765</v>
      </c>
      <c r="H51" s="230">
        <v>36752</v>
      </c>
      <c r="I51" s="230">
        <v>2100</v>
      </c>
      <c r="J51" s="230">
        <v>0</v>
      </c>
      <c r="K51" s="230">
        <v>5394</v>
      </c>
      <c r="L51" s="230">
        <v>0</v>
      </c>
      <c r="M51" s="230">
        <v>264</v>
      </c>
      <c r="N51" s="230">
        <v>2800</v>
      </c>
      <c r="O51" s="230">
        <v>396</v>
      </c>
      <c r="P51" s="230">
        <v>245810</v>
      </c>
      <c r="Q51" s="230">
        <f>1500+1500+80000</f>
        <v>83000</v>
      </c>
      <c r="R51" s="230">
        <v>1800</v>
      </c>
      <c r="S51" s="230">
        <f>5084+20904</f>
        <v>25988</v>
      </c>
      <c r="T51" s="230">
        <v>535</v>
      </c>
      <c r="U51" s="230">
        <v>950</v>
      </c>
      <c r="V51" s="230">
        <v>0</v>
      </c>
      <c r="W51" s="230">
        <v>3300</v>
      </c>
      <c r="X51" s="230">
        <v>1200</v>
      </c>
      <c r="Y51" s="230">
        <v>16315</v>
      </c>
      <c r="Z51" s="230">
        <v>0</v>
      </c>
      <c r="AA51" s="230">
        <v>950</v>
      </c>
      <c r="AB51" s="230">
        <v>3400</v>
      </c>
      <c r="AC51" s="230">
        <v>86462</v>
      </c>
      <c r="AD51" s="230">
        <v>2500</v>
      </c>
      <c r="AE51" s="230">
        <v>2500</v>
      </c>
      <c r="AF51" s="230">
        <v>0</v>
      </c>
      <c r="AG51" s="230"/>
    </row>
    <row r="52" spans="1:33" ht="13.5">
      <c r="A52" s="232" t="s">
        <v>217</v>
      </c>
      <c r="B52" s="228">
        <v>163</v>
      </c>
      <c r="C52" s="229">
        <f t="shared" si="7"/>
        <v>1259515</v>
      </c>
      <c r="D52" s="230">
        <v>2300</v>
      </c>
      <c r="E52" s="230">
        <f>915897-20000</f>
        <v>895897</v>
      </c>
      <c r="F52" s="230">
        <v>88260</v>
      </c>
      <c r="G52" s="230">
        <v>168731</v>
      </c>
      <c r="H52" s="230">
        <v>23422</v>
      </c>
      <c r="I52" s="230">
        <v>0</v>
      </c>
      <c r="J52" s="230">
        <v>0</v>
      </c>
      <c r="K52" s="230">
        <v>3192</v>
      </c>
      <c r="L52" s="230">
        <v>0</v>
      </c>
      <c r="M52" s="230"/>
      <c r="N52" s="230">
        <v>1700</v>
      </c>
      <c r="O52" s="230"/>
      <c r="P52" s="230">
        <v>21000</v>
      </c>
      <c r="Q52" s="230">
        <v>0</v>
      </c>
      <c r="R52" s="230">
        <v>2500</v>
      </c>
      <c r="S52" s="230">
        <v>200</v>
      </c>
      <c r="T52" s="230"/>
      <c r="U52" s="230">
        <v>700</v>
      </c>
      <c r="V52" s="230">
        <v>0</v>
      </c>
      <c r="W52" s="230">
        <v>0</v>
      </c>
      <c r="X52" s="230">
        <v>900</v>
      </c>
      <c r="Y52" s="230"/>
      <c r="Z52" s="230">
        <v>0</v>
      </c>
      <c r="AA52" s="230"/>
      <c r="AB52" s="230">
        <v>2200</v>
      </c>
      <c r="AC52" s="230">
        <v>48513</v>
      </c>
      <c r="AD52" s="230">
        <v>0</v>
      </c>
      <c r="AE52" s="230">
        <v>0</v>
      </c>
      <c r="AF52" s="230">
        <v>0</v>
      </c>
      <c r="AG52" s="230"/>
    </row>
    <row r="53" spans="1:33" ht="23.25">
      <c r="A53" s="232" t="s">
        <v>218</v>
      </c>
      <c r="B53" s="228">
        <v>540</v>
      </c>
      <c r="C53" s="229">
        <f t="shared" si="7"/>
        <v>2056794</v>
      </c>
      <c r="D53" s="230">
        <v>5000</v>
      </c>
      <c r="E53" s="230">
        <f>1393223-20000</f>
        <v>1373223</v>
      </c>
      <c r="F53" s="230">
        <v>115856</v>
      </c>
      <c r="G53" s="230">
        <v>263280</v>
      </c>
      <c r="H53" s="230">
        <v>36546</v>
      </c>
      <c r="I53" s="230">
        <v>15000</v>
      </c>
      <c r="J53" s="230">
        <v>0</v>
      </c>
      <c r="K53" s="230">
        <v>5000</v>
      </c>
      <c r="L53" s="230">
        <v>0</v>
      </c>
      <c r="M53" s="230"/>
      <c r="N53" s="230">
        <v>1500</v>
      </c>
      <c r="O53" s="230"/>
      <c r="P53" s="230">
        <v>117800</v>
      </c>
      <c r="Q53" s="230">
        <v>3000</v>
      </c>
      <c r="R53" s="230">
        <v>2000</v>
      </c>
      <c r="S53" s="230">
        <v>6600</v>
      </c>
      <c r="T53" s="230"/>
      <c r="U53" s="230">
        <v>1460</v>
      </c>
      <c r="V53" s="230">
        <v>0</v>
      </c>
      <c r="W53" s="230">
        <v>15000</v>
      </c>
      <c r="X53" s="230">
        <v>2100</v>
      </c>
      <c r="Y53" s="230"/>
      <c r="Z53" s="230">
        <v>0</v>
      </c>
      <c r="AA53" s="230"/>
      <c r="AB53" s="230">
        <v>3700</v>
      </c>
      <c r="AC53" s="230">
        <v>89729</v>
      </c>
      <c r="AD53" s="230">
        <v>0</v>
      </c>
      <c r="AE53" s="230">
        <v>0</v>
      </c>
      <c r="AF53" s="230">
        <v>0</v>
      </c>
      <c r="AG53" s="230"/>
    </row>
    <row r="54" spans="1:33" ht="13.5">
      <c r="A54" s="232" t="s">
        <v>219</v>
      </c>
      <c r="B54" s="228">
        <v>253</v>
      </c>
      <c r="C54" s="229">
        <f t="shared" si="7"/>
        <v>1280258</v>
      </c>
      <c r="D54" s="230">
        <v>1200</v>
      </c>
      <c r="E54" s="230">
        <f>827738-20000</f>
        <v>807738</v>
      </c>
      <c r="F54" s="230">
        <v>72260</v>
      </c>
      <c r="G54" s="230">
        <v>157223</v>
      </c>
      <c r="H54" s="230">
        <v>21824</v>
      </c>
      <c r="I54" s="230">
        <v>0</v>
      </c>
      <c r="J54" s="230">
        <v>0</v>
      </c>
      <c r="K54" s="230">
        <v>5625</v>
      </c>
      <c r="L54" s="230">
        <v>0</v>
      </c>
      <c r="M54" s="230"/>
      <c r="N54" s="230">
        <v>1200</v>
      </c>
      <c r="O54" s="230"/>
      <c r="P54" s="230">
        <v>106746</v>
      </c>
      <c r="Q54" s="230">
        <f>2000+40000</f>
        <v>42000</v>
      </c>
      <c r="R54" s="230">
        <v>2750</v>
      </c>
      <c r="S54" s="230">
        <v>2000</v>
      </c>
      <c r="T54" s="230"/>
      <c r="U54" s="230">
        <v>1225</v>
      </c>
      <c r="V54" s="230">
        <v>0</v>
      </c>
      <c r="W54" s="230">
        <v>4688</v>
      </c>
      <c r="X54" s="230">
        <v>3600</v>
      </c>
      <c r="Y54" s="230"/>
      <c r="Z54" s="230">
        <v>0</v>
      </c>
      <c r="AA54" s="230"/>
      <c r="AB54" s="230">
        <v>0</v>
      </c>
      <c r="AC54" s="230">
        <v>50179</v>
      </c>
      <c r="AD54" s="230">
        <v>0</v>
      </c>
      <c r="AE54" s="230">
        <v>0</v>
      </c>
      <c r="AF54" s="230">
        <v>0</v>
      </c>
      <c r="AG54" s="230"/>
    </row>
    <row r="55" spans="1:33" ht="13.5">
      <c r="A55" s="232" t="s">
        <v>222</v>
      </c>
      <c r="B55" s="228">
        <v>467</v>
      </c>
      <c r="C55" s="229">
        <f t="shared" si="7"/>
        <v>2365209</v>
      </c>
      <c r="D55" s="230">
        <v>2000</v>
      </c>
      <c r="E55" s="230">
        <f>1596693-20000</f>
        <v>1576693</v>
      </c>
      <c r="F55" s="230">
        <v>129810</v>
      </c>
      <c r="G55" s="230">
        <v>299618</v>
      </c>
      <c r="H55" s="230">
        <v>41590</v>
      </c>
      <c r="I55" s="230">
        <v>10000</v>
      </c>
      <c r="J55" s="230">
        <v>5000</v>
      </c>
      <c r="K55" s="230">
        <f>7000+4000</f>
        <v>11000</v>
      </c>
      <c r="L55" s="230">
        <v>0</v>
      </c>
      <c r="M55" s="230"/>
      <c r="N55" s="230">
        <v>3000</v>
      </c>
      <c r="O55" s="230"/>
      <c r="P55" s="230">
        <v>166600</v>
      </c>
      <c r="Q55" s="230">
        <v>0</v>
      </c>
      <c r="R55" s="230">
        <v>3000</v>
      </c>
      <c r="S55" s="230">
        <v>8000</v>
      </c>
      <c r="T55" s="230"/>
      <c r="U55" s="230">
        <v>800</v>
      </c>
      <c r="V55" s="230">
        <v>0</v>
      </c>
      <c r="W55" s="230">
        <v>9000</v>
      </c>
      <c r="X55" s="230">
        <v>1000</v>
      </c>
      <c r="Y55" s="230"/>
      <c r="Z55" s="230">
        <v>0</v>
      </c>
      <c r="AA55" s="230"/>
      <c r="AB55" s="230">
        <v>3000</v>
      </c>
      <c r="AC55" s="230">
        <v>92066</v>
      </c>
      <c r="AD55" s="230">
        <v>1200</v>
      </c>
      <c r="AE55" s="230">
        <v>1832</v>
      </c>
      <c r="AF55" s="230">
        <v>0</v>
      </c>
      <c r="AG55" s="230"/>
    </row>
    <row r="56" spans="1:33" ht="13.5">
      <c r="A56" s="232" t="s">
        <v>207</v>
      </c>
      <c r="B56" s="228">
        <v>180</v>
      </c>
      <c r="C56" s="229">
        <f t="shared" si="7"/>
        <v>622715</v>
      </c>
      <c r="D56" s="230">
        <v>945</v>
      </c>
      <c r="E56" s="230">
        <f>439492-10000</f>
        <v>429492</v>
      </c>
      <c r="F56" s="230">
        <v>32948</v>
      </c>
      <c r="G56" s="230">
        <v>82698</v>
      </c>
      <c r="H56" s="230">
        <v>11479</v>
      </c>
      <c r="I56" s="230">
        <v>0</v>
      </c>
      <c r="J56" s="230">
        <v>0</v>
      </c>
      <c r="K56" s="230">
        <f>10555-4320</f>
        <v>6235</v>
      </c>
      <c r="L56" s="230">
        <v>0</v>
      </c>
      <c r="M56" s="230"/>
      <c r="N56" s="230">
        <v>700</v>
      </c>
      <c r="O56" s="230"/>
      <c r="P56" s="230">
        <v>23490</v>
      </c>
      <c r="Q56" s="230">
        <v>0</v>
      </c>
      <c r="R56" s="230">
        <v>0</v>
      </c>
      <c r="S56" s="230">
        <v>9000</v>
      </c>
      <c r="T56" s="230"/>
      <c r="U56" s="230">
        <v>0</v>
      </c>
      <c r="V56" s="230">
        <v>0</v>
      </c>
      <c r="W56" s="230">
        <v>0</v>
      </c>
      <c r="X56" s="230">
        <v>400</v>
      </c>
      <c r="Y56" s="230"/>
      <c r="Z56" s="230">
        <v>0</v>
      </c>
      <c r="AA56" s="230"/>
      <c r="AB56" s="230">
        <v>0</v>
      </c>
      <c r="AC56" s="230">
        <v>25328</v>
      </c>
      <c r="AD56" s="230">
        <v>0</v>
      </c>
      <c r="AE56" s="230">
        <v>0</v>
      </c>
      <c r="AF56" s="230">
        <v>0</v>
      </c>
      <c r="AG56" s="230"/>
    </row>
    <row r="57" spans="1:33" ht="13.5">
      <c r="A57" s="239" t="s">
        <v>223</v>
      </c>
      <c r="B57" s="239">
        <v>456</v>
      </c>
      <c r="C57" s="229">
        <f t="shared" si="7"/>
        <v>2102603</v>
      </c>
      <c r="D57" s="230">
        <v>0</v>
      </c>
      <c r="E57" s="230">
        <f>1458010-20000</f>
        <v>1438010</v>
      </c>
      <c r="F57" s="230">
        <v>123343</v>
      </c>
      <c r="G57" s="230">
        <v>278148</v>
      </c>
      <c r="H57" s="230">
        <v>38610</v>
      </c>
      <c r="I57" s="230">
        <v>0</v>
      </c>
      <c r="J57" s="230">
        <v>0</v>
      </c>
      <c r="K57" s="230">
        <v>5000</v>
      </c>
      <c r="L57" s="230">
        <v>0</v>
      </c>
      <c r="M57" s="230"/>
      <c r="N57" s="230">
        <v>1500</v>
      </c>
      <c r="O57" s="230"/>
      <c r="P57" s="230">
        <v>76710</v>
      </c>
      <c r="Q57" s="230">
        <v>11114</v>
      </c>
      <c r="R57" s="230">
        <v>2000</v>
      </c>
      <c r="S57" s="230">
        <v>6000</v>
      </c>
      <c r="T57" s="230"/>
      <c r="U57" s="230">
        <v>11419</v>
      </c>
      <c r="V57" s="230">
        <v>0</v>
      </c>
      <c r="W57" s="230">
        <v>3700</v>
      </c>
      <c r="X57" s="230">
        <v>0</v>
      </c>
      <c r="Y57" s="230"/>
      <c r="Z57" s="230">
        <v>0</v>
      </c>
      <c r="AA57" s="230"/>
      <c r="AB57" s="230">
        <v>0</v>
      </c>
      <c r="AC57" s="230">
        <v>95208</v>
      </c>
      <c r="AD57" s="230">
        <v>6000</v>
      </c>
      <c r="AE57" s="230">
        <v>5841</v>
      </c>
      <c r="AF57" s="230">
        <v>0</v>
      </c>
      <c r="AG57" s="230"/>
    </row>
    <row r="58" spans="1:33" ht="13.5">
      <c r="A58" s="239" t="s">
        <v>209</v>
      </c>
      <c r="B58" s="239"/>
      <c r="C58" s="229">
        <v>2145114</v>
      </c>
      <c r="D58" s="230"/>
      <c r="E58" s="230"/>
      <c r="F58" s="230"/>
      <c r="G58" s="230">
        <v>0</v>
      </c>
      <c r="H58" s="230">
        <v>0</v>
      </c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</row>
    <row r="59" spans="1:33" ht="22.5">
      <c r="A59" s="233" t="s">
        <v>224</v>
      </c>
      <c r="B59" s="234">
        <f>SUM(B47:B57)</f>
        <v>4779</v>
      </c>
      <c r="C59" s="237">
        <f>SUM(C47:C58)</f>
        <v>25258493</v>
      </c>
      <c r="D59" s="234">
        <f>SUM(D47:D58)</f>
        <v>36621</v>
      </c>
      <c r="E59" s="234">
        <f>SUM(E47:E58)</f>
        <v>15303086</v>
      </c>
      <c r="F59" s="234">
        <f>SUM(F47:F58)</f>
        <v>1264431</v>
      </c>
      <c r="G59" s="234">
        <v>2925903</v>
      </c>
      <c r="H59" s="234">
        <v>406145</v>
      </c>
      <c r="I59" s="234">
        <f aca="true" t="shared" si="8" ref="I59:AG59">SUM(I47:I58)</f>
        <v>56720</v>
      </c>
      <c r="J59" s="234">
        <f t="shared" si="8"/>
        <v>6000</v>
      </c>
      <c r="K59" s="234">
        <f t="shared" si="8"/>
        <v>94194</v>
      </c>
      <c r="L59" s="234">
        <f t="shared" si="8"/>
        <v>0</v>
      </c>
      <c r="M59" s="234">
        <f t="shared" si="8"/>
        <v>3234</v>
      </c>
      <c r="N59" s="234">
        <f t="shared" si="8"/>
        <v>86900</v>
      </c>
      <c r="O59" s="234">
        <f t="shared" si="8"/>
        <v>792</v>
      </c>
      <c r="P59" s="234">
        <f t="shared" si="8"/>
        <v>1338914</v>
      </c>
      <c r="Q59" s="234">
        <f t="shared" si="8"/>
        <v>327114</v>
      </c>
      <c r="R59" s="234">
        <f t="shared" si="8"/>
        <v>21550</v>
      </c>
      <c r="S59" s="234">
        <f t="shared" si="8"/>
        <v>142115</v>
      </c>
      <c r="T59" s="234">
        <f t="shared" si="8"/>
        <v>535</v>
      </c>
      <c r="U59" s="234">
        <f t="shared" si="8"/>
        <v>26567</v>
      </c>
      <c r="V59" s="234">
        <f t="shared" si="8"/>
        <v>1000</v>
      </c>
      <c r="W59" s="234">
        <f t="shared" si="8"/>
        <v>51588</v>
      </c>
      <c r="X59" s="234">
        <f t="shared" si="8"/>
        <v>12200</v>
      </c>
      <c r="Y59" s="234">
        <f t="shared" si="8"/>
        <v>17978</v>
      </c>
      <c r="Z59" s="234">
        <f t="shared" si="8"/>
        <v>0</v>
      </c>
      <c r="AA59" s="234">
        <f t="shared" si="8"/>
        <v>950</v>
      </c>
      <c r="AB59" s="234">
        <f t="shared" si="8"/>
        <v>15100</v>
      </c>
      <c r="AC59" s="234">
        <f t="shared" si="8"/>
        <v>950369</v>
      </c>
      <c r="AD59" s="234">
        <f t="shared" si="8"/>
        <v>12200</v>
      </c>
      <c r="AE59" s="234">
        <f t="shared" si="8"/>
        <v>11173</v>
      </c>
      <c r="AF59" s="234">
        <f t="shared" si="8"/>
        <v>0</v>
      </c>
      <c r="AG59" s="234">
        <f t="shared" si="8"/>
        <v>0</v>
      </c>
    </row>
    <row r="60" spans="1:33" ht="22.5">
      <c r="A60" s="233" t="s">
        <v>225</v>
      </c>
      <c r="B60" s="220">
        <v>251</v>
      </c>
      <c r="C60" s="229">
        <f>SUM(D60:AG60)</f>
        <v>1870340</v>
      </c>
      <c r="D60" s="234">
        <v>600</v>
      </c>
      <c r="E60" s="234">
        <v>1266633</v>
      </c>
      <c r="F60" s="234">
        <v>104658</v>
      </c>
      <c r="G60" s="229">
        <v>238765</v>
      </c>
      <c r="H60" s="229">
        <v>33143</v>
      </c>
      <c r="I60" s="234">
        <v>12000</v>
      </c>
      <c r="J60" s="234">
        <v>0</v>
      </c>
      <c r="K60" s="234">
        <v>3420</v>
      </c>
      <c r="L60" s="234">
        <v>0</v>
      </c>
      <c r="M60" s="234">
        <v>0</v>
      </c>
      <c r="N60" s="234">
        <v>3000</v>
      </c>
      <c r="O60" s="234">
        <v>0</v>
      </c>
      <c r="P60" s="234">
        <v>48907</v>
      </c>
      <c r="Q60" s="234">
        <f>1000+60000</f>
        <v>61000</v>
      </c>
      <c r="R60" s="234">
        <v>3000</v>
      </c>
      <c r="S60" s="234">
        <v>10000</v>
      </c>
      <c r="T60" s="234">
        <v>0</v>
      </c>
      <c r="U60" s="234">
        <v>1000</v>
      </c>
      <c r="V60" s="234">
        <v>0</v>
      </c>
      <c r="W60" s="234">
        <v>3600</v>
      </c>
      <c r="X60" s="234">
        <v>1000</v>
      </c>
      <c r="Y60" s="234">
        <v>0</v>
      </c>
      <c r="Z60" s="234">
        <v>0</v>
      </c>
      <c r="AA60" s="234">
        <v>0</v>
      </c>
      <c r="AB60" s="234">
        <v>2500</v>
      </c>
      <c r="AC60" s="234">
        <v>76114</v>
      </c>
      <c r="AD60" s="234">
        <v>1000</v>
      </c>
      <c r="AE60" s="234">
        <v>0</v>
      </c>
      <c r="AF60" s="234">
        <v>0</v>
      </c>
      <c r="AG60" s="234">
        <v>0</v>
      </c>
    </row>
    <row r="61" spans="1:33" ht="18" customHeight="1">
      <c r="A61" s="232" t="s">
        <v>188</v>
      </c>
      <c r="B61" s="220">
        <v>30</v>
      </c>
      <c r="C61" s="229">
        <f>SUM(D61:AG61)</f>
        <v>565103</v>
      </c>
      <c r="D61" s="234">
        <v>0</v>
      </c>
      <c r="E61" s="240">
        <v>425994</v>
      </c>
      <c r="F61" s="240">
        <v>23242</v>
      </c>
      <c r="G61" s="230">
        <v>77711</v>
      </c>
      <c r="H61" s="230">
        <v>10787</v>
      </c>
      <c r="I61" s="240">
        <v>0</v>
      </c>
      <c r="J61" s="240">
        <v>0</v>
      </c>
      <c r="K61" s="240">
        <v>1600</v>
      </c>
      <c r="L61" s="240">
        <v>0</v>
      </c>
      <c r="M61" s="240"/>
      <c r="N61" s="240">
        <v>0</v>
      </c>
      <c r="O61" s="240"/>
      <c r="P61" s="240">
        <v>0</v>
      </c>
      <c r="Q61" s="240">
        <v>0</v>
      </c>
      <c r="R61" s="240">
        <v>0</v>
      </c>
      <c r="S61" s="240">
        <v>2000</v>
      </c>
      <c r="T61" s="240"/>
      <c r="U61" s="240">
        <v>0</v>
      </c>
      <c r="V61" s="240">
        <v>0</v>
      </c>
      <c r="W61" s="240">
        <v>0</v>
      </c>
      <c r="X61" s="240">
        <v>0</v>
      </c>
      <c r="Y61" s="240"/>
      <c r="Z61" s="240">
        <v>0</v>
      </c>
      <c r="AA61" s="240"/>
      <c r="AB61" s="240">
        <v>0</v>
      </c>
      <c r="AC61" s="240">
        <v>23769</v>
      </c>
      <c r="AD61" s="240"/>
      <c r="AE61" s="240"/>
      <c r="AF61" s="240"/>
      <c r="AG61" s="240"/>
    </row>
    <row r="62" spans="1:33" ht="25.5" customHeight="1">
      <c r="A62" s="241" t="s">
        <v>226</v>
      </c>
      <c r="B62" s="220">
        <v>28</v>
      </c>
      <c r="C62" s="229">
        <f>SUM(D62:AG62)</f>
        <v>463223</v>
      </c>
      <c r="D62" s="234">
        <v>0</v>
      </c>
      <c r="E62" s="240">
        <v>344674</v>
      </c>
      <c r="F62" s="240">
        <v>22730</v>
      </c>
      <c r="G62" s="230">
        <v>63781</v>
      </c>
      <c r="H62" s="230">
        <v>8853</v>
      </c>
      <c r="I62" s="240">
        <v>0</v>
      </c>
      <c r="J62" s="240">
        <v>0</v>
      </c>
      <c r="K62" s="240">
        <v>2360</v>
      </c>
      <c r="L62" s="240">
        <v>0</v>
      </c>
      <c r="M62" s="240"/>
      <c r="N62" s="240">
        <v>300</v>
      </c>
      <c r="O62" s="240"/>
      <c r="P62" s="240">
        <v>516</v>
      </c>
      <c r="Q62" s="240">
        <v>0</v>
      </c>
      <c r="R62" s="240">
        <v>0</v>
      </c>
      <c r="S62" s="240">
        <v>700</v>
      </c>
      <c r="T62" s="240"/>
      <c r="U62" s="240">
        <v>0</v>
      </c>
      <c r="V62" s="240">
        <v>0</v>
      </c>
      <c r="W62" s="240">
        <v>0</v>
      </c>
      <c r="X62" s="240">
        <v>0</v>
      </c>
      <c r="Y62" s="240"/>
      <c r="Z62" s="240">
        <v>0</v>
      </c>
      <c r="AA62" s="240"/>
      <c r="AB62" s="240">
        <v>0</v>
      </c>
      <c r="AC62" s="240">
        <v>19309</v>
      </c>
      <c r="AD62" s="240"/>
      <c r="AE62" s="240"/>
      <c r="AF62" s="240">
        <v>0</v>
      </c>
      <c r="AG62" s="240"/>
    </row>
    <row r="63" spans="1:33" ht="24" customHeight="1">
      <c r="A63" s="241" t="s">
        <v>227</v>
      </c>
      <c r="B63" s="220">
        <v>50</v>
      </c>
      <c r="C63" s="229">
        <f>SUM(D63:AG63)</f>
        <v>1038797</v>
      </c>
      <c r="D63" s="234">
        <v>700</v>
      </c>
      <c r="E63" s="240">
        <v>717342</v>
      </c>
      <c r="F63" s="240">
        <v>57388</v>
      </c>
      <c r="G63" s="230">
        <v>134974</v>
      </c>
      <c r="H63" s="230">
        <v>18736</v>
      </c>
      <c r="I63" s="240">
        <v>0</v>
      </c>
      <c r="J63" s="240">
        <v>0</v>
      </c>
      <c r="K63" s="240">
        <v>1000</v>
      </c>
      <c r="L63" s="240">
        <v>0</v>
      </c>
      <c r="M63" s="240"/>
      <c r="N63" s="240">
        <v>0</v>
      </c>
      <c r="O63" s="240"/>
      <c r="P63" s="240">
        <v>72100</v>
      </c>
      <c r="Q63" s="240">
        <v>0</v>
      </c>
      <c r="R63" s="240">
        <v>1000</v>
      </c>
      <c r="S63" s="240">
        <v>1900</v>
      </c>
      <c r="T63" s="240"/>
      <c r="U63" s="240">
        <v>0</v>
      </c>
      <c r="V63" s="240">
        <v>0</v>
      </c>
      <c r="W63" s="240">
        <v>0</v>
      </c>
      <c r="X63" s="240">
        <v>400</v>
      </c>
      <c r="Y63" s="240"/>
      <c r="Z63" s="240">
        <v>0</v>
      </c>
      <c r="AA63" s="240"/>
      <c r="AB63" s="240">
        <v>1000</v>
      </c>
      <c r="AC63" s="240">
        <v>32257</v>
      </c>
      <c r="AD63" s="240"/>
      <c r="AE63" s="240"/>
      <c r="AF63" s="240">
        <v>0</v>
      </c>
      <c r="AG63" s="240"/>
    </row>
    <row r="64" spans="1:33" ht="25.5" customHeight="1">
      <c r="A64" s="233" t="s">
        <v>228</v>
      </c>
      <c r="B64" s="220">
        <f>SUM(B61:B63)</f>
        <v>108</v>
      </c>
      <c r="C64" s="235">
        <f>SUM(C61:C63)</f>
        <v>2067123</v>
      </c>
      <c r="D64" s="220">
        <f>SUM(D61:D63)</f>
        <v>700</v>
      </c>
      <c r="E64" s="242">
        <f>SUM(E61:E63)</f>
        <v>1488010</v>
      </c>
      <c r="F64" s="242">
        <f>SUM(F61:F63)</f>
        <v>103360</v>
      </c>
      <c r="G64" s="229">
        <v>276466</v>
      </c>
      <c r="H64" s="229"/>
      <c r="I64" s="242">
        <f aca="true" t="shared" si="9" ref="I64:AG64">SUM(I61:I63)</f>
        <v>0</v>
      </c>
      <c r="J64" s="242">
        <f t="shared" si="9"/>
        <v>0</v>
      </c>
      <c r="K64" s="242">
        <f t="shared" si="9"/>
        <v>4960</v>
      </c>
      <c r="L64" s="242">
        <f t="shared" si="9"/>
        <v>0</v>
      </c>
      <c r="M64" s="242">
        <f t="shared" si="9"/>
        <v>0</v>
      </c>
      <c r="N64" s="242">
        <f t="shared" si="9"/>
        <v>300</v>
      </c>
      <c r="O64" s="242">
        <f t="shared" si="9"/>
        <v>0</v>
      </c>
      <c r="P64" s="242">
        <f t="shared" si="9"/>
        <v>72616</v>
      </c>
      <c r="Q64" s="242">
        <f t="shared" si="9"/>
        <v>0</v>
      </c>
      <c r="R64" s="242">
        <f t="shared" si="9"/>
        <v>1000</v>
      </c>
      <c r="S64" s="242">
        <f t="shared" si="9"/>
        <v>4600</v>
      </c>
      <c r="T64" s="242">
        <f t="shared" si="9"/>
        <v>0</v>
      </c>
      <c r="U64" s="242">
        <f t="shared" si="9"/>
        <v>0</v>
      </c>
      <c r="V64" s="242">
        <f t="shared" si="9"/>
        <v>0</v>
      </c>
      <c r="W64" s="242">
        <f t="shared" si="9"/>
        <v>0</v>
      </c>
      <c r="X64" s="242">
        <f t="shared" si="9"/>
        <v>400</v>
      </c>
      <c r="Y64" s="242">
        <f t="shared" si="9"/>
        <v>0</v>
      </c>
      <c r="Z64" s="242">
        <f t="shared" si="9"/>
        <v>0</v>
      </c>
      <c r="AA64" s="242">
        <f t="shared" si="9"/>
        <v>0</v>
      </c>
      <c r="AB64" s="242">
        <f t="shared" si="9"/>
        <v>1000</v>
      </c>
      <c r="AC64" s="242">
        <f t="shared" si="9"/>
        <v>75335</v>
      </c>
      <c r="AD64" s="242">
        <f t="shared" si="9"/>
        <v>0</v>
      </c>
      <c r="AE64" s="242">
        <f t="shared" si="9"/>
        <v>0</v>
      </c>
      <c r="AF64" s="242">
        <f t="shared" si="9"/>
        <v>0</v>
      </c>
      <c r="AG64" s="242">
        <f t="shared" si="9"/>
        <v>0</v>
      </c>
    </row>
    <row r="65" spans="1:33" ht="22.5">
      <c r="A65" s="233" t="s">
        <v>229</v>
      </c>
      <c r="B65" s="220">
        <v>37</v>
      </c>
      <c r="C65" s="229">
        <f>SUM(D65:AG65)</f>
        <v>92155</v>
      </c>
      <c r="D65" s="234">
        <v>480</v>
      </c>
      <c r="E65" s="234">
        <v>48969</v>
      </c>
      <c r="F65" s="234">
        <v>3915</v>
      </c>
      <c r="G65" s="229">
        <v>9334</v>
      </c>
      <c r="H65" s="229">
        <v>1296</v>
      </c>
      <c r="I65" s="234">
        <v>0</v>
      </c>
      <c r="J65" s="234">
        <v>1000</v>
      </c>
      <c r="K65" s="234">
        <v>0</v>
      </c>
      <c r="L65" s="234">
        <v>0</v>
      </c>
      <c r="M65" s="234">
        <v>0</v>
      </c>
      <c r="N65" s="234">
        <v>628</v>
      </c>
      <c r="O65" s="234">
        <v>0</v>
      </c>
      <c r="P65" s="234">
        <v>21000</v>
      </c>
      <c r="Q65" s="234">
        <v>0</v>
      </c>
      <c r="R65" s="234">
        <v>0</v>
      </c>
      <c r="S65" s="234">
        <v>1000</v>
      </c>
      <c r="T65" s="234">
        <v>0</v>
      </c>
      <c r="U65" s="234">
        <v>0</v>
      </c>
      <c r="V65" s="234">
        <v>0</v>
      </c>
      <c r="W65" s="234">
        <v>0</v>
      </c>
      <c r="X65" s="234">
        <v>0</v>
      </c>
      <c r="Y65" s="234">
        <v>0</v>
      </c>
      <c r="Z65" s="234">
        <v>0</v>
      </c>
      <c r="AA65" s="234">
        <v>0</v>
      </c>
      <c r="AB65" s="234">
        <v>0</v>
      </c>
      <c r="AC65" s="234">
        <v>4533</v>
      </c>
      <c r="AD65" s="234">
        <v>0</v>
      </c>
      <c r="AE65" s="234">
        <v>0</v>
      </c>
      <c r="AF65" s="234">
        <v>0</v>
      </c>
      <c r="AG65" s="234">
        <v>0</v>
      </c>
    </row>
    <row r="66" spans="1:33" ht="33">
      <c r="A66" s="233" t="s">
        <v>230</v>
      </c>
      <c r="B66" s="220">
        <v>0</v>
      </c>
      <c r="C66" s="229">
        <f>SUM(D66:AG66)</f>
        <v>590059</v>
      </c>
      <c r="D66" s="234">
        <v>200</v>
      </c>
      <c r="E66" s="234">
        <v>378432</v>
      </c>
      <c r="F66" s="234">
        <v>25519</v>
      </c>
      <c r="G66" s="229">
        <v>70128</v>
      </c>
      <c r="H66" s="229">
        <v>9735</v>
      </c>
      <c r="I66" s="234">
        <v>0</v>
      </c>
      <c r="J66" s="234">
        <v>30000</v>
      </c>
      <c r="K66" s="234">
        <v>8600</v>
      </c>
      <c r="L66" s="234">
        <v>0</v>
      </c>
      <c r="M66" s="234">
        <v>0</v>
      </c>
      <c r="N66" s="234">
        <v>2000</v>
      </c>
      <c r="O66" s="234">
        <v>0</v>
      </c>
      <c r="P66" s="234">
        <v>3812</v>
      </c>
      <c r="Q66" s="234">
        <v>2000</v>
      </c>
      <c r="R66" s="234">
        <v>800</v>
      </c>
      <c r="S66" s="234">
        <v>20900</v>
      </c>
      <c r="T66" s="234">
        <v>0</v>
      </c>
      <c r="U66" s="234">
        <v>0</v>
      </c>
      <c r="V66" s="234">
        <v>0</v>
      </c>
      <c r="W66" s="234">
        <v>4300</v>
      </c>
      <c r="X66" s="234">
        <v>3500</v>
      </c>
      <c r="Y66" s="234">
        <v>0</v>
      </c>
      <c r="Z66" s="234">
        <v>3000</v>
      </c>
      <c r="AA66" s="234">
        <v>0</v>
      </c>
      <c r="AB66" s="234">
        <v>1000</v>
      </c>
      <c r="AC66" s="234">
        <v>21533</v>
      </c>
      <c r="AD66" s="234">
        <v>600</v>
      </c>
      <c r="AE66" s="234">
        <v>4000</v>
      </c>
      <c r="AF66" s="234"/>
      <c r="AG66" s="234">
        <v>0</v>
      </c>
    </row>
    <row r="67" spans="1:33" ht="13.5" hidden="1">
      <c r="A67" s="241" t="s">
        <v>196</v>
      </c>
      <c r="B67" s="243"/>
      <c r="C67" s="235" t="e">
        <f>#REF!+AC67+E67+H67+P67+F67+G67</f>
        <v>#REF!</v>
      </c>
      <c r="D67" s="244"/>
      <c r="E67" s="245"/>
      <c r="F67" s="245"/>
      <c r="G67" s="230">
        <v>0</v>
      </c>
      <c r="H67" s="230">
        <v>0</v>
      </c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</row>
    <row r="68" spans="1:33" ht="13.5" hidden="1">
      <c r="A68" s="241" t="s">
        <v>197</v>
      </c>
      <c r="B68" s="243"/>
      <c r="C68" s="235" t="e">
        <f>#REF!+AC68+E68+H68+P68+F68+G68</f>
        <v>#REF!</v>
      </c>
      <c r="D68" s="244"/>
      <c r="E68" s="245"/>
      <c r="F68" s="245"/>
      <c r="G68" s="230">
        <v>0</v>
      </c>
      <c r="H68" s="230">
        <v>0</v>
      </c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</row>
    <row r="69" spans="1:33" ht="13.5" hidden="1">
      <c r="A69" s="241" t="s">
        <v>202</v>
      </c>
      <c r="B69" s="243"/>
      <c r="C69" s="235" t="e">
        <f>#REF!+AC69+E69+H69+P69+F69+G69</f>
        <v>#REF!</v>
      </c>
      <c r="D69" s="244"/>
      <c r="E69" s="245"/>
      <c r="F69" s="245"/>
      <c r="G69" s="230">
        <v>0</v>
      </c>
      <c r="H69" s="230">
        <v>0</v>
      </c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</row>
    <row r="70" spans="1:33" ht="13.5" hidden="1">
      <c r="A70" s="241" t="s">
        <v>231</v>
      </c>
      <c r="B70" s="243"/>
      <c r="C70" s="235" t="e">
        <f>#REF!+AC70+E70+H70+P70+F70+G70</f>
        <v>#REF!</v>
      </c>
      <c r="D70" s="244"/>
      <c r="E70" s="245"/>
      <c r="F70" s="245"/>
      <c r="G70" s="230">
        <v>0</v>
      </c>
      <c r="H70" s="230">
        <v>0</v>
      </c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</row>
    <row r="71" spans="1:33" ht="22.5" hidden="1">
      <c r="A71" s="246" t="s">
        <v>232</v>
      </c>
      <c r="B71" s="243">
        <f>B67+B68+B69+B70</f>
        <v>0</v>
      </c>
      <c r="C71" s="235" t="e">
        <f>#REF!+AC71+E71+H71+P71+F71+G71</f>
        <v>#REF!</v>
      </c>
      <c r="D71" s="243">
        <f>D67+D68+D69+D70</f>
        <v>0</v>
      </c>
      <c r="E71" s="243">
        <f>E67+E68+E69+E70</f>
        <v>0</v>
      </c>
      <c r="F71" s="243">
        <f>F67+F68+F69+F70</f>
        <v>0</v>
      </c>
      <c r="G71" s="230">
        <v>0</v>
      </c>
      <c r="H71" s="230">
        <v>0</v>
      </c>
      <c r="I71" s="243">
        <f>I67+I68+I69+I70</f>
        <v>0</v>
      </c>
      <c r="J71" s="243">
        <f>J67+J68+J69+J70</f>
        <v>0</v>
      </c>
      <c r="K71" s="243">
        <f>K67+K68+K69+K70</f>
        <v>0</v>
      </c>
      <c r="L71" s="243">
        <f>L67+L68+L69+L70</f>
        <v>0</v>
      </c>
      <c r="M71" s="243"/>
      <c r="N71" s="243">
        <f>N67+N68+N69+N70</f>
        <v>0</v>
      </c>
      <c r="O71" s="243"/>
      <c r="P71" s="243">
        <f>P67+P68+P69+P70</f>
        <v>0</v>
      </c>
      <c r="Q71" s="243">
        <f>Q67+Q68+Q69+Q70</f>
        <v>0</v>
      </c>
      <c r="R71" s="243">
        <f>R67+R68+R69+R70</f>
        <v>0</v>
      </c>
      <c r="S71" s="243">
        <f>S67+S68+S69+S70</f>
        <v>0</v>
      </c>
      <c r="T71" s="243"/>
      <c r="U71" s="243">
        <f>U67+U68+U69+U70</f>
        <v>0</v>
      </c>
      <c r="V71" s="243">
        <f>V67+V68+V69+V70</f>
        <v>0</v>
      </c>
      <c r="W71" s="243">
        <f>W67+W68+W69+W70</f>
        <v>0</v>
      </c>
      <c r="X71" s="243">
        <f>X67+X68+X69+X70</f>
        <v>0</v>
      </c>
      <c r="Y71" s="243"/>
      <c r="Z71" s="243">
        <f>Z67+Z68+Z69+Z70</f>
        <v>0</v>
      </c>
      <c r="AA71" s="243"/>
      <c r="AB71" s="243">
        <f>AB67+AB68+AB69+AB70</f>
        <v>0</v>
      </c>
      <c r="AC71" s="243">
        <f>AC67+AC68+AC69+AC70</f>
        <v>0</v>
      </c>
      <c r="AD71" s="243">
        <f>AD67+AD68+AD69+AD70</f>
        <v>0</v>
      </c>
      <c r="AE71" s="243">
        <f>AE67+AE68+AE69+AE70</f>
        <v>0</v>
      </c>
      <c r="AF71" s="243">
        <f>AF67+AF68+AF69+AF70</f>
        <v>0</v>
      </c>
      <c r="AG71" s="243"/>
    </row>
    <row r="72" spans="1:33" ht="13.5" hidden="1">
      <c r="A72" s="247" t="s">
        <v>196</v>
      </c>
      <c r="B72" s="243"/>
      <c r="C72" s="235" t="e">
        <f>#REF!+AC72+E72+H72+P72+F72+G72</f>
        <v>#REF!</v>
      </c>
      <c r="D72" s="243"/>
      <c r="E72" s="248"/>
      <c r="F72" s="248"/>
      <c r="G72" s="245"/>
      <c r="H72" s="245"/>
      <c r="I72" s="248"/>
      <c r="J72" s="248"/>
      <c r="K72" s="249">
        <v>4000</v>
      </c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8"/>
      <c r="AF72" s="243"/>
      <c r="AG72" s="243"/>
    </row>
    <row r="73" spans="1:33" ht="13.5" hidden="1">
      <c r="A73" s="247" t="s">
        <v>202</v>
      </c>
      <c r="B73" s="243"/>
      <c r="C73" s="235" t="e">
        <f>#REF!+AC73+E73+H73+P73+F73+G73</f>
        <v>#REF!</v>
      </c>
      <c r="D73" s="243"/>
      <c r="E73" s="248"/>
      <c r="F73" s="248"/>
      <c r="G73" s="245"/>
      <c r="H73" s="245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50">
        <v>2000</v>
      </c>
      <c r="T73" s="250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3"/>
      <c r="AG73" s="243"/>
    </row>
    <row r="74" spans="1:33" ht="13.5" hidden="1">
      <c r="A74" s="247" t="s">
        <v>216</v>
      </c>
      <c r="B74" s="243"/>
      <c r="C74" s="235" t="e">
        <f>#REF!+AC74+E74+H74+P74+F74+G74</f>
        <v>#REF!</v>
      </c>
      <c r="D74" s="243"/>
      <c r="E74" s="248"/>
      <c r="F74" s="248"/>
      <c r="G74" s="245"/>
      <c r="H74" s="245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50">
        <v>2000</v>
      </c>
      <c r="T74" s="250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3"/>
      <c r="AG74" s="243"/>
    </row>
    <row r="75" spans="1:33" ht="13.5" hidden="1">
      <c r="A75" s="247" t="s">
        <v>231</v>
      </c>
      <c r="B75" s="243"/>
      <c r="C75" s="235" t="e">
        <f>#REF!+AC75+E75+H75+P75+F75+G75</f>
        <v>#REF!</v>
      </c>
      <c r="D75" s="243"/>
      <c r="E75" s="248"/>
      <c r="F75" s="248"/>
      <c r="G75" s="245"/>
      <c r="H75" s="245"/>
      <c r="I75" s="248"/>
      <c r="J75" s="250">
        <v>12500</v>
      </c>
      <c r="K75" s="250">
        <v>4500</v>
      </c>
      <c r="L75" s="248"/>
      <c r="M75" s="248"/>
      <c r="N75" s="250">
        <v>2000</v>
      </c>
      <c r="O75" s="250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3"/>
      <c r="AG75" s="243"/>
    </row>
    <row r="76" spans="1:33" ht="12.75" hidden="1">
      <c r="A76" s="246">
        <v>80195</v>
      </c>
      <c r="B76" s="243">
        <f>SUM(B72:B75)</f>
        <v>0</v>
      </c>
      <c r="C76" s="251" t="e">
        <f>SUM(C72:C75)</f>
        <v>#REF!</v>
      </c>
      <c r="D76" s="243">
        <f>SUM(D72:D75)</f>
        <v>0</v>
      </c>
      <c r="E76" s="243">
        <f>SUM(E72:E75)</f>
        <v>0</v>
      </c>
      <c r="F76" s="243">
        <f>SUM(F72:F75)</f>
        <v>0</v>
      </c>
      <c r="G76" s="243">
        <v>0</v>
      </c>
      <c r="H76" s="243">
        <v>0</v>
      </c>
      <c r="I76" s="243">
        <f aca="true" t="shared" si="10" ref="I76:AF76">SUM(I72:I75)</f>
        <v>0</v>
      </c>
      <c r="J76" s="243">
        <f t="shared" si="10"/>
        <v>12500</v>
      </c>
      <c r="K76" s="243">
        <f t="shared" si="10"/>
        <v>8500</v>
      </c>
      <c r="L76" s="243">
        <f t="shared" si="10"/>
        <v>0</v>
      </c>
      <c r="M76" s="243">
        <f t="shared" si="10"/>
        <v>0</v>
      </c>
      <c r="N76" s="243">
        <f t="shared" si="10"/>
        <v>2000</v>
      </c>
      <c r="O76" s="243">
        <f t="shared" si="10"/>
        <v>0</v>
      </c>
      <c r="P76" s="243">
        <f t="shared" si="10"/>
        <v>0</v>
      </c>
      <c r="Q76" s="243">
        <f t="shared" si="10"/>
        <v>0</v>
      </c>
      <c r="R76" s="243">
        <f t="shared" si="10"/>
        <v>0</v>
      </c>
      <c r="S76" s="243">
        <f t="shared" si="10"/>
        <v>4000</v>
      </c>
      <c r="T76" s="243">
        <f t="shared" si="10"/>
        <v>0</v>
      </c>
      <c r="U76" s="243">
        <f t="shared" si="10"/>
        <v>0</v>
      </c>
      <c r="V76" s="243">
        <f t="shared" si="10"/>
        <v>0</v>
      </c>
      <c r="W76" s="243">
        <f t="shared" si="10"/>
        <v>0</v>
      </c>
      <c r="X76" s="243">
        <f t="shared" si="10"/>
        <v>0</v>
      </c>
      <c r="Y76" s="243">
        <f t="shared" si="10"/>
        <v>0</v>
      </c>
      <c r="Z76" s="243">
        <f t="shared" si="10"/>
        <v>0</v>
      </c>
      <c r="AA76" s="243">
        <f t="shared" si="10"/>
        <v>0</v>
      </c>
      <c r="AB76" s="243">
        <f t="shared" si="10"/>
        <v>0</v>
      </c>
      <c r="AC76" s="243">
        <f t="shared" si="10"/>
        <v>0</v>
      </c>
      <c r="AD76" s="243">
        <f t="shared" si="10"/>
        <v>0</v>
      </c>
      <c r="AE76" s="243">
        <f t="shared" si="10"/>
        <v>0</v>
      </c>
      <c r="AF76" s="243">
        <f t="shared" si="10"/>
        <v>0</v>
      </c>
      <c r="AG76" s="243"/>
    </row>
    <row r="77" spans="1:33" ht="20.25" customHeight="1">
      <c r="A77" s="252" t="s">
        <v>233</v>
      </c>
      <c r="B77" s="253"/>
      <c r="C77" s="235"/>
      <c r="D77" s="254"/>
      <c r="E77" s="230"/>
      <c r="F77" s="230"/>
      <c r="G77" s="230"/>
      <c r="H77" s="230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254"/>
      <c r="AC77" s="254"/>
      <c r="AD77" s="254"/>
      <c r="AE77" s="254"/>
      <c r="AF77" s="254"/>
      <c r="AG77" s="254"/>
    </row>
    <row r="78" spans="1:33" ht="13.5">
      <c r="A78" s="232" t="s">
        <v>234</v>
      </c>
      <c r="B78" s="228">
        <v>23</v>
      </c>
      <c r="C78" s="229">
        <f>SUM(D78:AG78)</f>
        <v>664760</v>
      </c>
      <c r="D78" s="255">
        <v>1500</v>
      </c>
      <c r="E78" s="230">
        <v>393332</v>
      </c>
      <c r="F78" s="230">
        <v>34138</v>
      </c>
      <c r="G78" s="230">
        <v>74120</v>
      </c>
      <c r="H78" s="230">
        <v>10289</v>
      </c>
      <c r="I78" s="255">
        <v>0</v>
      </c>
      <c r="J78" s="255">
        <v>0</v>
      </c>
      <c r="K78" s="255">
        <v>15468</v>
      </c>
      <c r="L78" s="255">
        <v>0</v>
      </c>
      <c r="M78" s="255"/>
      <c r="N78" s="255">
        <v>0</v>
      </c>
      <c r="O78" s="255"/>
      <c r="P78" s="255">
        <v>63968</v>
      </c>
      <c r="Q78" s="255">
        <v>13000</v>
      </c>
      <c r="R78" s="255">
        <v>6000</v>
      </c>
      <c r="S78" s="255">
        <v>18000</v>
      </c>
      <c r="T78" s="255"/>
      <c r="U78" s="255">
        <v>1300</v>
      </c>
      <c r="V78" s="255">
        <v>800</v>
      </c>
      <c r="W78" s="255">
        <v>4500</v>
      </c>
      <c r="X78" s="255">
        <v>1500</v>
      </c>
      <c r="Y78" s="255"/>
      <c r="Z78" s="255">
        <v>0</v>
      </c>
      <c r="AA78" s="255"/>
      <c r="AB78" s="255">
        <v>5000</v>
      </c>
      <c r="AC78" s="255">
        <v>21845</v>
      </c>
      <c r="AD78" s="255"/>
      <c r="AE78" s="255"/>
      <c r="AF78" s="255"/>
      <c r="AG78" s="255"/>
    </row>
    <row r="79" spans="1:33" ht="13.5">
      <c r="A79" s="232" t="s">
        <v>235</v>
      </c>
      <c r="B79" s="228">
        <v>13</v>
      </c>
      <c r="C79" s="229">
        <f>SUM(D79:AG79)</f>
        <v>676966</v>
      </c>
      <c r="D79" s="255">
        <v>1000</v>
      </c>
      <c r="E79" s="230">
        <v>324420</v>
      </c>
      <c r="F79" s="230">
        <v>29902</v>
      </c>
      <c r="G79" s="230">
        <v>62919</v>
      </c>
      <c r="H79" s="230">
        <v>8734</v>
      </c>
      <c r="I79" s="255">
        <v>0</v>
      </c>
      <c r="J79" s="255">
        <v>0</v>
      </c>
      <c r="K79" s="255">
        <v>16000</v>
      </c>
      <c r="L79" s="255">
        <v>0</v>
      </c>
      <c r="M79" s="255"/>
      <c r="N79" s="255">
        <v>1000</v>
      </c>
      <c r="O79" s="255"/>
      <c r="P79" s="255">
        <v>96500</v>
      </c>
      <c r="Q79" s="255">
        <f>2000+100000</f>
        <v>102000</v>
      </c>
      <c r="R79" s="255">
        <v>1073</v>
      </c>
      <c r="S79" s="255">
        <f>27500-13365</f>
        <v>14135</v>
      </c>
      <c r="T79" s="255"/>
      <c r="U79" s="255">
        <v>0</v>
      </c>
      <c r="V79" s="255">
        <v>0</v>
      </c>
      <c r="W79" s="255">
        <v>0</v>
      </c>
      <c r="X79" s="255">
        <v>700</v>
      </c>
      <c r="Y79" s="255"/>
      <c r="Z79" s="255">
        <v>0</v>
      </c>
      <c r="AA79" s="255"/>
      <c r="AB79" s="255">
        <v>2000</v>
      </c>
      <c r="AC79" s="255">
        <v>16583</v>
      </c>
      <c r="AD79" s="255"/>
      <c r="AE79" s="255"/>
      <c r="AF79" s="255">
        <v>0</v>
      </c>
      <c r="AG79" s="255"/>
    </row>
    <row r="80" spans="1:33" ht="22.5">
      <c r="A80" s="233" t="s">
        <v>236</v>
      </c>
      <c r="B80" s="256">
        <f>B78+B79</f>
        <v>36</v>
      </c>
      <c r="C80" s="235">
        <f>SUM(C78:C79)</f>
        <v>1341726</v>
      </c>
      <c r="D80" s="256">
        <f>D78+D79</f>
        <v>2500</v>
      </c>
      <c r="E80" s="256">
        <f>E78+E79</f>
        <v>717752</v>
      </c>
      <c r="F80" s="256">
        <f>F78+F79</f>
        <v>64040</v>
      </c>
      <c r="G80" s="256">
        <v>137039</v>
      </c>
      <c r="H80" s="256">
        <v>19023</v>
      </c>
      <c r="I80" s="256">
        <f aca="true" t="shared" si="11" ref="I80:X80">I78+I79</f>
        <v>0</v>
      </c>
      <c r="J80" s="256">
        <f t="shared" si="11"/>
        <v>0</v>
      </c>
      <c r="K80" s="256">
        <f t="shared" si="11"/>
        <v>31468</v>
      </c>
      <c r="L80" s="256">
        <f t="shared" si="11"/>
        <v>0</v>
      </c>
      <c r="M80" s="256">
        <f t="shared" si="11"/>
        <v>0</v>
      </c>
      <c r="N80" s="256">
        <f t="shared" si="11"/>
        <v>1000</v>
      </c>
      <c r="O80" s="256">
        <f t="shared" si="11"/>
        <v>0</v>
      </c>
      <c r="P80" s="256">
        <f t="shared" si="11"/>
        <v>160468</v>
      </c>
      <c r="Q80" s="256">
        <f t="shared" si="11"/>
        <v>115000</v>
      </c>
      <c r="R80" s="256">
        <f t="shared" si="11"/>
        <v>7073</v>
      </c>
      <c r="S80" s="256">
        <f t="shared" si="11"/>
        <v>32135</v>
      </c>
      <c r="T80" s="256">
        <f t="shared" si="11"/>
        <v>0</v>
      </c>
      <c r="U80" s="256">
        <f t="shared" si="11"/>
        <v>1300</v>
      </c>
      <c r="V80" s="256">
        <f t="shared" si="11"/>
        <v>800</v>
      </c>
      <c r="W80" s="256">
        <f t="shared" si="11"/>
        <v>4500</v>
      </c>
      <c r="X80" s="256">
        <f t="shared" si="11"/>
        <v>2200</v>
      </c>
      <c r="Y80" s="256"/>
      <c r="Z80" s="256">
        <f>Z78+Z79</f>
        <v>0</v>
      </c>
      <c r="AA80" s="256"/>
      <c r="AB80" s="256">
        <f>AB78+AB79</f>
        <v>7000</v>
      </c>
      <c r="AC80" s="256">
        <f>AC78+AC79</f>
        <v>38428</v>
      </c>
      <c r="AD80" s="256">
        <f>AD78+AD79</f>
        <v>0</v>
      </c>
      <c r="AE80" s="256">
        <f>AE78+AE79</f>
        <v>0</v>
      </c>
      <c r="AF80" s="256">
        <f>AF78+AF79</f>
        <v>0</v>
      </c>
      <c r="AG80" s="256"/>
    </row>
    <row r="81" spans="1:33" ht="12.75" customHeight="1">
      <c r="A81" s="232" t="s">
        <v>237</v>
      </c>
      <c r="B81" s="228"/>
      <c r="C81" s="229">
        <f>SUM(D81:AG81)</f>
        <v>987639</v>
      </c>
      <c r="D81" s="255">
        <v>0</v>
      </c>
      <c r="E81" s="230">
        <v>684159</v>
      </c>
      <c r="F81" s="230">
        <v>58437</v>
      </c>
      <c r="G81" s="230">
        <v>131068</v>
      </c>
      <c r="H81" s="230">
        <v>18194</v>
      </c>
      <c r="I81" s="255">
        <v>0</v>
      </c>
      <c r="J81" s="255">
        <v>0</v>
      </c>
      <c r="K81" s="255">
        <v>17947</v>
      </c>
      <c r="L81" s="255">
        <v>0</v>
      </c>
      <c r="M81" s="255"/>
      <c r="N81" s="255">
        <v>1500</v>
      </c>
      <c r="O81" s="255"/>
      <c r="P81" s="255">
        <v>7978</v>
      </c>
      <c r="Q81" s="255">
        <v>2000</v>
      </c>
      <c r="R81" s="255">
        <v>1000</v>
      </c>
      <c r="S81" s="255">
        <v>12098</v>
      </c>
      <c r="T81" s="255"/>
      <c r="U81" s="255">
        <v>2000</v>
      </c>
      <c r="V81" s="255">
        <v>600</v>
      </c>
      <c r="W81" s="255">
        <v>3500</v>
      </c>
      <c r="X81" s="255">
        <v>0</v>
      </c>
      <c r="Y81" s="255"/>
      <c r="Z81" s="255">
        <v>0</v>
      </c>
      <c r="AA81" s="255"/>
      <c r="AB81" s="255">
        <v>0</v>
      </c>
      <c r="AC81" s="255">
        <v>44158</v>
      </c>
      <c r="AD81" s="255">
        <v>2000</v>
      </c>
      <c r="AE81" s="255">
        <v>1000</v>
      </c>
      <c r="AF81" s="255">
        <v>0</v>
      </c>
      <c r="AG81" s="255"/>
    </row>
    <row r="82" spans="1:33" ht="13.5">
      <c r="A82" s="232" t="s">
        <v>238</v>
      </c>
      <c r="B82" s="228"/>
      <c r="C82" s="229">
        <f>SUM(D82:AG82)</f>
        <v>1049853</v>
      </c>
      <c r="D82" s="255">
        <v>1128</v>
      </c>
      <c r="E82" s="230">
        <v>710916</v>
      </c>
      <c r="F82" s="230">
        <v>55201</v>
      </c>
      <c r="G82" s="230">
        <v>135220</v>
      </c>
      <c r="H82" s="230">
        <v>18770</v>
      </c>
      <c r="I82" s="255">
        <v>0</v>
      </c>
      <c r="J82" s="255">
        <v>0</v>
      </c>
      <c r="K82" s="255">
        <f>13400+1000</f>
        <v>14400</v>
      </c>
      <c r="L82" s="255">
        <v>0</v>
      </c>
      <c r="M82" s="255"/>
      <c r="N82" s="255">
        <f>2000+6500</f>
        <v>8500</v>
      </c>
      <c r="O82" s="255"/>
      <c r="P82" s="255">
        <v>29574</v>
      </c>
      <c r="Q82" s="255">
        <v>3000</v>
      </c>
      <c r="R82" s="255">
        <v>1800</v>
      </c>
      <c r="S82" s="255">
        <v>11500</v>
      </c>
      <c r="T82" s="255"/>
      <c r="U82" s="255">
        <v>1600</v>
      </c>
      <c r="V82" s="255">
        <v>0</v>
      </c>
      <c r="W82" s="255">
        <v>7000</v>
      </c>
      <c r="X82" s="255">
        <v>2800</v>
      </c>
      <c r="Y82" s="255"/>
      <c r="Z82" s="255">
        <v>0</v>
      </c>
      <c r="AA82" s="255"/>
      <c r="AB82" s="255">
        <v>3000</v>
      </c>
      <c r="AC82" s="255">
        <v>40844</v>
      </c>
      <c r="AD82" s="255">
        <v>2400</v>
      </c>
      <c r="AE82" s="255">
        <v>2200</v>
      </c>
      <c r="AF82" s="255">
        <v>0</v>
      </c>
      <c r="AG82" s="255"/>
    </row>
    <row r="83" spans="1:33" ht="13.5">
      <c r="A83" s="232" t="s">
        <v>239</v>
      </c>
      <c r="B83" s="228"/>
      <c r="C83" s="229">
        <f>SUM(D83:AG83)</f>
        <v>896120</v>
      </c>
      <c r="D83" s="255">
        <v>1000</v>
      </c>
      <c r="E83" s="230">
        <v>617747</v>
      </c>
      <c r="F83" s="230">
        <v>46805</v>
      </c>
      <c r="G83" s="230">
        <v>115189</v>
      </c>
      <c r="H83" s="230">
        <v>15989</v>
      </c>
      <c r="I83" s="255">
        <v>0</v>
      </c>
      <c r="J83" s="255">
        <v>0</v>
      </c>
      <c r="K83" s="255">
        <v>8000</v>
      </c>
      <c r="L83" s="255">
        <v>0</v>
      </c>
      <c r="M83" s="255"/>
      <c r="N83" s="255">
        <v>5000</v>
      </c>
      <c r="O83" s="255"/>
      <c r="P83" s="255">
        <v>11961</v>
      </c>
      <c r="Q83" s="255">
        <v>1500</v>
      </c>
      <c r="R83" s="255">
        <v>1000</v>
      </c>
      <c r="S83" s="255">
        <v>28867</v>
      </c>
      <c r="T83" s="255"/>
      <c r="U83" s="255">
        <v>1500</v>
      </c>
      <c r="V83" s="255">
        <v>0</v>
      </c>
      <c r="W83" s="255">
        <v>0</v>
      </c>
      <c r="X83" s="255">
        <v>1000</v>
      </c>
      <c r="Y83" s="255"/>
      <c r="Z83" s="255">
        <v>0</v>
      </c>
      <c r="AA83" s="255"/>
      <c r="AB83" s="255">
        <v>2300</v>
      </c>
      <c r="AC83" s="255">
        <v>35462</v>
      </c>
      <c r="AD83" s="255">
        <v>1800</v>
      </c>
      <c r="AE83" s="255">
        <v>1000</v>
      </c>
      <c r="AF83" s="255">
        <v>0</v>
      </c>
      <c r="AG83" s="255"/>
    </row>
    <row r="84" spans="1:33" ht="22.5">
      <c r="A84" s="233" t="s">
        <v>240</v>
      </c>
      <c r="B84" s="256">
        <f>B81+B82+B83</f>
        <v>0</v>
      </c>
      <c r="C84" s="235">
        <f>SUM(C81:C83)</f>
        <v>2933612</v>
      </c>
      <c r="D84" s="256">
        <f>D81+D82+D83</f>
        <v>2128</v>
      </c>
      <c r="E84" s="256">
        <f>E81+E82+E83</f>
        <v>2012822</v>
      </c>
      <c r="F84" s="256">
        <f>F81+F82+F83</f>
        <v>160443</v>
      </c>
      <c r="G84" s="256">
        <v>381477</v>
      </c>
      <c r="H84" s="256">
        <v>52953</v>
      </c>
      <c r="I84" s="256">
        <f aca="true" t="shared" si="12" ref="I84:X84">I81+I82+I83</f>
        <v>0</v>
      </c>
      <c r="J84" s="256">
        <f t="shared" si="12"/>
        <v>0</v>
      </c>
      <c r="K84" s="256">
        <f t="shared" si="12"/>
        <v>40347</v>
      </c>
      <c r="L84" s="256">
        <f t="shared" si="12"/>
        <v>0</v>
      </c>
      <c r="M84" s="256">
        <f t="shared" si="12"/>
        <v>0</v>
      </c>
      <c r="N84" s="256">
        <f t="shared" si="12"/>
        <v>15000</v>
      </c>
      <c r="O84" s="256">
        <f t="shared" si="12"/>
        <v>0</v>
      </c>
      <c r="P84" s="256">
        <f t="shared" si="12"/>
        <v>49513</v>
      </c>
      <c r="Q84" s="256">
        <f t="shared" si="12"/>
        <v>6500</v>
      </c>
      <c r="R84" s="256">
        <f t="shared" si="12"/>
        <v>3800</v>
      </c>
      <c r="S84" s="256">
        <f t="shared" si="12"/>
        <v>52465</v>
      </c>
      <c r="T84" s="256">
        <f t="shared" si="12"/>
        <v>0</v>
      </c>
      <c r="U84" s="256">
        <f t="shared" si="12"/>
        <v>5100</v>
      </c>
      <c r="V84" s="256">
        <f t="shared" si="12"/>
        <v>600</v>
      </c>
      <c r="W84" s="256">
        <f t="shared" si="12"/>
        <v>10500</v>
      </c>
      <c r="X84" s="256">
        <f t="shared" si="12"/>
        <v>3800</v>
      </c>
      <c r="Y84" s="256"/>
      <c r="Z84" s="256">
        <f>Z81+Z82+Z83</f>
        <v>0</v>
      </c>
      <c r="AA84" s="256"/>
      <c r="AB84" s="256">
        <f>AB81+AB82+AB83</f>
        <v>5300</v>
      </c>
      <c r="AC84" s="256">
        <f>AC81+AC82+AC83</f>
        <v>120464</v>
      </c>
      <c r="AD84" s="256">
        <f>AD81+AD82+AD83</f>
        <v>6200</v>
      </c>
      <c r="AE84" s="256">
        <f>AE81+AE82+AE83</f>
        <v>4200</v>
      </c>
      <c r="AF84" s="256">
        <f>AF81+AF82+AF83</f>
        <v>0</v>
      </c>
      <c r="AG84" s="256"/>
    </row>
    <row r="85" spans="1:33" ht="22.5">
      <c r="A85" s="233" t="s">
        <v>241</v>
      </c>
      <c r="B85" s="220"/>
      <c r="C85" s="229">
        <f>SUM(D85:AG85)</f>
        <v>1010429</v>
      </c>
      <c r="D85" s="256">
        <v>800</v>
      </c>
      <c r="E85" s="234">
        <v>650575</v>
      </c>
      <c r="F85" s="234">
        <v>51435</v>
      </c>
      <c r="G85" s="230">
        <v>123805</v>
      </c>
      <c r="H85" s="230">
        <v>17185</v>
      </c>
      <c r="I85" s="256">
        <v>2000</v>
      </c>
      <c r="J85" s="256">
        <v>1500</v>
      </c>
      <c r="K85" s="256">
        <v>14140</v>
      </c>
      <c r="L85" s="256">
        <v>0</v>
      </c>
      <c r="M85" s="256">
        <v>0</v>
      </c>
      <c r="N85" s="256">
        <v>3000</v>
      </c>
      <c r="O85" s="256">
        <v>0</v>
      </c>
      <c r="P85" s="256">
        <v>62936</v>
      </c>
      <c r="Q85" s="256">
        <v>0</v>
      </c>
      <c r="R85" s="256">
        <v>1500</v>
      </c>
      <c r="S85" s="256">
        <v>24000</v>
      </c>
      <c r="T85" s="256">
        <v>0</v>
      </c>
      <c r="U85" s="256">
        <v>1656</v>
      </c>
      <c r="V85" s="256">
        <v>3360</v>
      </c>
      <c r="W85" s="256">
        <v>4200</v>
      </c>
      <c r="X85" s="256">
        <v>500</v>
      </c>
      <c r="Y85" s="256"/>
      <c r="Z85" s="256">
        <v>0</v>
      </c>
      <c r="AA85" s="256"/>
      <c r="AB85" s="256">
        <v>4000</v>
      </c>
      <c r="AC85" s="256">
        <v>43837</v>
      </c>
      <c r="AD85" s="256">
        <v>0</v>
      </c>
      <c r="AE85" s="256">
        <v>0</v>
      </c>
      <c r="AF85" s="256">
        <v>0</v>
      </c>
      <c r="AG85" s="256"/>
    </row>
    <row r="86" spans="1:33" ht="13.5">
      <c r="A86" s="232" t="s">
        <v>196</v>
      </c>
      <c r="B86" s="228">
        <v>222</v>
      </c>
      <c r="C86" s="229">
        <f>SUM(D86:AG86)</f>
        <v>789295</v>
      </c>
      <c r="D86" s="255">
        <v>0</v>
      </c>
      <c r="E86" s="230">
        <v>457418</v>
      </c>
      <c r="F86" s="230">
        <v>36014</v>
      </c>
      <c r="G86" s="230">
        <v>83808</v>
      </c>
      <c r="H86" s="230">
        <v>11633</v>
      </c>
      <c r="I86" s="255">
        <v>0</v>
      </c>
      <c r="J86" s="255">
        <v>0</v>
      </c>
      <c r="K86" s="255">
        <v>0</v>
      </c>
      <c r="L86" s="255">
        <v>0</v>
      </c>
      <c r="M86" s="255"/>
      <c r="N86" s="255">
        <v>0</v>
      </c>
      <c r="O86" s="255"/>
      <c r="P86" s="255">
        <v>165242</v>
      </c>
      <c r="Q86" s="255">
        <v>0</v>
      </c>
      <c r="R86" s="255">
        <v>0</v>
      </c>
      <c r="S86" s="255">
        <v>9360</v>
      </c>
      <c r="T86" s="255"/>
      <c r="U86" s="255">
        <v>0</v>
      </c>
      <c r="V86" s="255">
        <v>0</v>
      </c>
      <c r="W86" s="255">
        <v>0</v>
      </c>
      <c r="X86" s="255">
        <v>0</v>
      </c>
      <c r="Y86" s="255"/>
      <c r="Z86" s="255">
        <v>0</v>
      </c>
      <c r="AA86" s="255"/>
      <c r="AB86" s="255">
        <v>0</v>
      </c>
      <c r="AC86" s="255">
        <v>25820</v>
      </c>
      <c r="AD86" s="255"/>
      <c r="AE86" s="255"/>
      <c r="AF86" s="255">
        <v>0</v>
      </c>
      <c r="AG86" s="255"/>
    </row>
    <row r="87" spans="1:33" ht="13.5">
      <c r="A87" s="232" t="s">
        <v>221</v>
      </c>
      <c r="B87" s="228">
        <v>90</v>
      </c>
      <c r="C87" s="229">
        <f>SUM(D87:AG87)</f>
        <v>707874</v>
      </c>
      <c r="D87" s="255">
        <v>1473</v>
      </c>
      <c r="E87" s="230">
        <v>450730</v>
      </c>
      <c r="F87" s="230">
        <v>37524</v>
      </c>
      <c r="G87" s="230">
        <v>85881</v>
      </c>
      <c r="H87" s="230">
        <v>11921</v>
      </c>
      <c r="I87" s="255">
        <v>0</v>
      </c>
      <c r="J87" s="255">
        <v>0</v>
      </c>
      <c r="K87" s="255">
        <v>0</v>
      </c>
      <c r="L87" s="255">
        <v>0</v>
      </c>
      <c r="M87" s="255"/>
      <c r="N87" s="255">
        <v>0</v>
      </c>
      <c r="O87" s="255"/>
      <c r="P87" s="255">
        <v>90060</v>
      </c>
      <c r="Q87" s="255">
        <v>0</v>
      </c>
      <c r="R87" s="255">
        <v>1000</v>
      </c>
      <c r="S87" s="255">
        <v>1867</v>
      </c>
      <c r="T87" s="255"/>
      <c r="U87" s="255">
        <v>1800</v>
      </c>
      <c r="V87" s="255">
        <v>0</v>
      </c>
      <c r="W87" s="255">
        <v>2500</v>
      </c>
      <c r="X87" s="255">
        <v>0</v>
      </c>
      <c r="Y87" s="255"/>
      <c r="Z87" s="255">
        <v>0</v>
      </c>
      <c r="AA87" s="255"/>
      <c r="AB87" s="255">
        <v>0</v>
      </c>
      <c r="AC87" s="255">
        <v>23118</v>
      </c>
      <c r="AD87" s="255">
        <v>0</v>
      </c>
      <c r="AE87" s="255">
        <v>0</v>
      </c>
      <c r="AF87" s="255">
        <v>0</v>
      </c>
      <c r="AG87" s="255"/>
    </row>
    <row r="88" spans="1:33" ht="22.5">
      <c r="A88" s="233" t="s">
        <v>242</v>
      </c>
      <c r="B88" s="256">
        <f>SUM(B86:B87)</f>
        <v>312</v>
      </c>
      <c r="C88" s="229">
        <f>SUM(D88:AG88)</f>
        <v>1494669</v>
      </c>
      <c r="D88" s="256">
        <f>SUM(D86:D87)</f>
        <v>1473</v>
      </c>
      <c r="E88" s="256">
        <f>SUM(E86:E87)</f>
        <v>908148</v>
      </c>
      <c r="F88" s="256">
        <f>SUM(F86:F87)</f>
        <v>73538</v>
      </c>
      <c r="G88" s="256">
        <v>169689</v>
      </c>
      <c r="H88" s="256">
        <v>23554</v>
      </c>
      <c r="I88" s="256">
        <f aca="true" t="shared" si="13" ref="I88:U88">SUM(I86:I87)</f>
        <v>0</v>
      </c>
      <c r="J88" s="256">
        <f t="shared" si="13"/>
        <v>0</v>
      </c>
      <c r="K88" s="256">
        <f t="shared" si="13"/>
        <v>0</v>
      </c>
      <c r="L88" s="256">
        <f t="shared" si="13"/>
        <v>0</v>
      </c>
      <c r="M88" s="256">
        <f t="shared" si="13"/>
        <v>0</v>
      </c>
      <c r="N88" s="256">
        <f t="shared" si="13"/>
        <v>0</v>
      </c>
      <c r="O88" s="256">
        <f t="shared" si="13"/>
        <v>0</v>
      </c>
      <c r="P88" s="256">
        <f t="shared" si="13"/>
        <v>255302</v>
      </c>
      <c r="Q88" s="256">
        <f t="shared" si="13"/>
        <v>0</v>
      </c>
      <c r="R88" s="256">
        <f t="shared" si="13"/>
        <v>1000</v>
      </c>
      <c r="S88" s="256">
        <f t="shared" si="13"/>
        <v>11227</v>
      </c>
      <c r="T88" s="256">
        <f t="shared" si="13"/>
        <v>0</v>
      </c>
      <c r="U88" s="256">
        <f t="shared" si="13"/>
        <v>1800</v>
      </c>
      <c r="V88" s="256"/>
      <c r="W88" s="256"/>
      <c r="X88" s="256">
        <f>SUM(X86:X87)</f>
        <v>0</v>
      </c>
      <c r="Y88" s="256"/>
      <c r="Z88" s="256">
        <f>SUM(Z86:Z87)</f>
        <v>0</v>
      </c>
      <c r="AA88" s="256"/>
      <c r="AB88" s="256">
        <f>SUM(AB86:AB87)</f>
        <v>0</v>
      </c>
      <c r="AC88" s="256">
        <f>SUM(AC86:AC87)</f>
        <v>48938</v>
      </c>
      <c r="AD88" s="256">
        <f>SUM(AD86:AD87)</f>
        <v>0</v>
      </c>
      <c r="AE88" s="256">
        <f>SUM(AE86:AE87)</f>
        <v>0</v>
      </c>
      <c r="AF88" s="256">
        <f>SUM(AF86:AF87)</f>
        <v>0</v>
      </c>
      <c r="AG88" s="256"/>
    </row>
    <row r="89" spans="1:33" ht="23.25" customHeight="1">
      <c r="A89" s="233" t="s">
        <v>243</v>
      </c>
      <c r="B89" s="256">
        <v>0</v>
      </c>
      <c r="C89" s="229">
        <f>SUM(D89:AG89)</f>
        <v>368064</v>
      </c>
      <c r="D89" s="256">
        <v>0</v>
      </c>
      <c r="E89" s="256">
        <v>277886</v>
      </c>
      <c r="F89" s="256">
        <v>22071</v>
      </c>
      <c r="G89" s="229">
        <v>50332</v>
      </c>
      <c r="H89" s="229">
        <v>6987</v>
      </c>
      <c r="I89" s="256">
        <v>0</v>
      </c>
      <c r="J89" s="256">
        <v>0</v>
      </c>
      <c r="K89" s="256">
        <v>0</v>
      </c>
      <c r="L89" s="256">
        <v>0</v>
      </c>
      <c r="M89" s="256">
        <v>0</v>
      </c>
      <c r="N89" s="256">
        <v>0</v>
      </c>
      <c r="O89" s="256">
        <v>0</v>
      </c>
      <c r="P89" s="256">
        <v>0</v>
      </c>
      <c r="Q89" s="256">
        <v>0</v>
      </c>
      <c r="R89" s="256">
        <v>0</v>
      </c>
      <c r="S89" s="256">
        <v>1200</v>
      </c>
      <c r="T89" s="256">
        <v>0</v>
      </c>
      <c r="U89" s="256">
        <v>0</v>
      </c>
      <c r="V89" s="256">
        <v>0</v>
      </c>
      <c r="W89" s="256">
        <v>0</v>
      </c>
      <c r="X89" s="256">
        <v>0</v>
      </c>
      <c r="Y89" s="256"/>
      <c r="Z89" s="256">
        <v>0</v>
      </c>
      <c r="AA89" s="256"/>
      <c r="AB89" s="256">
        <v>0</v>
      </c>
      <c r="AC89" s="256">
        <v>9588</v>
      </c>
      <c r="AD89" s="256">
        <v>0</v>
      </c>
      <c r="AE89" s="256">
        <v>0</v>
      </c>
      <c r="AF89" s="256">
        <v>0</v>
      </c>
      <c r="AG89" s="256"/>
    </row>
    <row r="90" spans="1:33" ht="23.25" customHeight="1" hidden="1">
      <c r="A90" s="233"/>
      <c r="B90" s="256"/>
      <c r="C90" s="229"/>
      <c r="D90" s="256"/>
      <c r="E90" s="256"/>
      <c r="F90" s="256"/>
      <c r="G90" s="230"/>
      <c r="H90" s="230"/>
      <c r="I90" s="256"/>
      <c r="J90" s="256"/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  <c r="AC90" s="256"/>
      <c r="AD90" s="256"/>
      <c r="AE90" s="256"/>
      <c r="AF90" s="256"/>
      <c r="AG90" s="256"/>
    </row>
    <row r="91" spans="1:33" ht="30.75" customHeight="1" hidden="1">
      <c r="A91" s="233" t="s">
        <v>244</v>
      </c>
      <c r="B91" s="234">
        <v>0</v>
      </c>
      <c r="C91" s="229" t="e">
        <f>#REF!+AC91+E91+H91+P91+F91+G91</f>
        <v>#REF!</v>
      </c>
      <c r="D91" s="234">
        <v>0</v>
      </c>
      <c r="E91" s="234"/>
      <c r="F91" s="234"/>
      <c r="G91" s="230">
        <v>0</v>
      </c>
      <c r="H91" s="230">
        <v>0</v>
      </c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</row>
    <row r="92" spans="1:33" ht="30.75" customHeight="1" hidden="1">
      <c r="A92" s="233" t="s">
        <v>245</v>
      </c>
      <c r="B92" s="234"/>
      <c r="C92" s="229" t="e">
        <f>#REF!+AC92+E92+H92+P92+F92+G92</f>
        <v>#REF!</v>
      </c>
      <c r="D92" s="234"/>
      <c r="E92" s="234"/>
      <c r="F92" s="234"/>
      <c r="G92" s="230">
        <v>0</v>
      </c>
      <c r="H92" s="230">
        <v>0</v>
      </c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</row>
    <row r="93" spans="1:33" ht="24" customHeight="1" hidden="1">
      <c r="A93" s="233" t="s">
        <v>246</v>
      </c>
      <c r="B93" s="234"/>
      <c r="C93" s="229" t="e">
        <f>#REF!+AC93+E93+H93+P93+F93+G93</f>
        <v>#REF!</v>
      </c>
      <c r="D93" s="234"/>
      <c r="E93" s="234"/>
      <c r="F93" s="234"/>
      <c r="G93" s="230">
        <v>0</v>
      </c>
      <c r="H93" s="230">
        <v>0</v>
      </c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</row>
    <row r="94" spans="1:33" ht="26.25" customHeight="1" hidden="1">
      <c r="A94" s="233" t="s">
        <v>247</v>
      </c>
      <c r="B94" s="234"/>
      <c r="C94" s="229" t="e">
        <f>#REF!+AC94+E94+H94+P94+F94+G94</f>
        <v>#REF!</v>
      </c>
      <c r="D94" s="234"/>
      <c r="E94" s="234"/>
      <c r="F94" s="234"/>
      <c r="G94" s="230">
        <v>0</v>
      </c>
      <c r="H94" s="230">
        <v>0</v>
      </c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</row>
    <row r="95" spans="1:33" ht="18" customHeight="1" hidden="1">
      <c r="A95" s="246">
        <v>85154</v>
      </c>
      <c r="B95" s="234">
        <f>B92+B93+B94</f>
        <v>0</v>
      </c>
      <c r="C95" s="234" t="e">
        <f>C92+C93+C94</f>
        <v>#REF!</v>
      </c>
      <c r="D95" s="234">
        <f>D92+D93+D94</f>
        <v>0</v>
      </c>
      <c r="E95" s="234">
        <f>E92+E93+E94</f>
        <v>0</v>
      </c>
      <c r="G95" s="230">
        <v>0</v>
      </c>
      <c r="H95" s="230">
        <v>0</v>
      </c>
      <c r="I95" s="234">
        <f>I92+I93+I94</f>
        <v>0</v>
      </c>
      <c r="J95" s="234">
        <f>J92+J93+J94</f>
        <v>0</v>
      </c>
      <c r="K95" s="234">
        <f>K92+K93+K94</f>
        <v>0</v>
      </c>
      <c r="L95" s="234">
        <f>L92+L93+L94</f>
        <v>0</v>
      </c>
      <c r="M95" s="234"/>
      <c r="N95" s="234">
        <f>N92+N93+N94</f>
        <v>0</v>
      </c>
      <c r="O95" s="234"/>
      <c r="P95" s="234">
        <f>P92+P93+P94</f>
        <v>0</v>
      </c>
      <c r="Q95" s="234">
        <f>Q92+Q93+Q94</f>
        <v>0</v>
      </c>
      <c r="R95" s="234">
        <f>R92+R93+R94</f>
        <v>0</v>
      </c>
      <c r="S95" s="234">
        <f>S92+S93+S94</f>
        <v>0</v>
      </c>
      <c r="T95" s="234"/>
      <c r="U95" s="234">
        <f>U92+U93+U94</f>
        <v>0</v>
      </c>
      <c r="V95" s="234"/>
      <c r="W95" s="234"/>
      <c r="X95" s="234">
        <f>X92+X93+X94</f>
        <v>0</v>
      </c>
      <c r="Y95" s="234"/>
      <c r="Z95" s="234">
        <f>Z92+Z93+Z94</f>
        <v>0</v>
      </c>
      <c r="AA95" s="234"/>
      <c r="AB95" s="234">
        <f>AB92+AB93+AB94</f>
        <v>0</v>
      </c>
      <c r="AC95" s="234">
        <f>AC92+AC93+AC94</f>
        <v>0</v>
      </c>
      <c r="AD95" s="234"/>
      <c r="AE95" s="234"/>
      <c r="AF95" s="234">
        <f>AF92+AF93+AF94</f>
        <v>0</v>
      </c>
      <c r="AG95" s="234"/>
    </row>
    <row r="96" spans="3:33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2.75">
      <c r="A98" s="257"/>
      <c r="B98" s="257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9"/>
      <c r="R98" s="259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</row>
    <row r="99" spans="1:33" ht="12.75">
      <c r="A99" s="257"/>
      <c r="B99" s="257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9"/>
      <c r="R99" s="259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</row>
    <row r="100" spans="1:33" ht="12.75">
      <c r="A100" s="260"/>
      <c r="B100" s="260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</row>
    <row r="101" spans="3:3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3:33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3:33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</sheetData>
  <printOptions/>
  <pageMargins left="0.84" right="0.57" top="0.72" bottom="0.56" header="0.2" footer="0.24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gdynia</dc:creator>
  <cp:keywords/>
  <dc:description/>
  <cp:lastModifiedBy>kbara</cp:lastModifiedBy>
  <cp:lastPrinted>2006-11-14T12:09:09Z</cp:lastPrinted>
  <dcterms:created xsi:type="dcterms:W3CDTF">2004-10-22T11:44:42Z</dcterms:created>
  <dcterms:modified xsi:type="dcterms:W3CDTF">2006-12-29T09:02:29Z</dcterms:modified>
  <cp:category/>
  <cp:version/>
  <cp:contentType/>
  <cp:contentStatus/>
</cp:coreProperties>
</file>